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perion\Documents\ESIEE\Controle de Gestion\"/>
    </mc:Choice>
  </mc:AlternateContent>
  <xr:revisionPtr revIDLastSave="0" documentId="13_ncr:1_{424B853C-67D9-422E-8126-B62AB3B3B9B6}" xr6:coauthVersionLast="47" xr6:coauthVersionMax="47" xr10:uidLastSave="{00000000-0000-0000-0000-000000000000}"/>
  <bookViews>
    <workbookView xWindow="-110" yWindow="-110" windowWidth="19420" windowHeight="10420" activeTab="2" xr2:uid="{5CC84004-019E-4DE2-8D28-D1DA997B6D3B}"/>
  </bookViews>
  <sheets>
    <sheet name="TD1" sheetId="1" r:id="rId1"/>
    <sheet name="Cours 2" sheetId="2" r:id="rId2"/>
    <sheet name="TD2-LU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3" l="1"/>
  <c r="M6" i="3" s="1"/>
  <c r="L5" i="3"/>
  <c r="M5" i="3" s="1"/>
  <c r="L4" i="3"/>
  <c r="M4" i="3" s="1"/>
  <c r="L3" i="3"/>
  <c r="M3" i="3" s="1"/>
  <c r="J4" i="3"/>
  <c r="J5" i="3"/>
  <c r="J6" i="3"/>
  <c r="J3" i="3"/>
  <c r="E3" i="3"/>
  <c r="E4" i="3"/>
  <c r="E5" i="3"/>
  <c r="E6" i="3"/>
  <c r="E7" i="3"/>
  <c r="E8" i="3"/>
  <c r="E9" i="3"/>
  <c r="E10" i="3"/>
  <c r="E11" i="3"/>
  <c r="E12" i="3"/>
  <c r="E13" i="3"/>
  <c r="E2" i="3"/>
  <c r="D3" i="3"/>
  <c r="D4" i="3"/>
  <c r="D5" i="3"/>
  <c r="D6" i="3"/>
  <c r="D14" i="3" s="1"/>
  <c r="D7" i="3"/>
  <c r="D8" i="3"/>
  <c r="D9" i="3"/>
  <c r="D10" i="3"/>
  <c r="D11" i="3"/>
  <c r="D12" i="3"/>
  <c r="D13" i="3"/>
  <c r="D2" i="3"/>
  <c r="B16" i="3"/>
  <c r="B15" i="3"/>
  <c r="B17" i="3"/>
  <c r="C14" i="3"/>
  <c r="B14" i="3"/>
  <c r="E13" i="2"/>
  <c r="E12" i="2"/>
  <c r="E11" i="2"/>
  <c r="E10" i="2"/>
  <c r="E9" i="2"/>
  <c r="E8" i="2"/>
  <c r="E7" i="2"/>
  <c r="E6" i="2"/>
  <c r="E5" i="2"/>
  <c r="E4" i="2"/>
  <c r="E3" i="2"/>
  <c r="E2" i="2"/>
  <c r="G4" i="2"/>
  <c r="D3" i="2"/>
  <c r="D4" i="2"/>
  <c r="D5" i="2"/>
  <c r="D6" i="2"/>
  <c r="D7" i="2"/>
  <c r="D8" i="2"/>
  <c r="D9" i="2"/>
  <c r="D10" i="2"/>
  <c r="D11" i="2"/>
  <c r="D12" i="2"/>
  <c r="D13" i="2"/>
  <c r="D2" i="2"/>
  <c r="D14" i="2" s="1"/>
  <c r="C3" i="2"/>
  <c r="C4" i="2"/>
  <c r="C5" i="2"/>
  <c r="C6" i="2"/>
  <c r="C7" i="2"/>
  <c r="C8" i="2"/>
  <c r="C9" i="2"/>
  <c r="C10" i="2"/>
  <c r="C11" i="2"/>
  <c r="C12" i="2"/>
  <c r="C13" i="2"/>
  <c r="C2" i="2"/>
  <c r="C14" i="2" s="1"/>
  <c r="G3" i="2"/>
  <c r="G2" i="2"/>
  <c r="G54" i="1"/>
  <c r="E48" i="1"/>
  <c r="G48" i="1" s="1"/>
  <c r="E50" i="1" s="1"/>
  <c r="E52" i="1" s="1"/>
  <c r="G52" i="1" s="1"/>
  <c r="D47" i="1"/>
  <c r="F17" i="1"/>
  <c r="F44" i="1"/>
  <c r="F42" i="1"/>
  <c r="C35" i="1"/>
  <c r="C27" i="1"/>
  <c r="D24" i="1"/>
  <c r="F20" i="1"/>
  <c r="F18" i="1"/>
  <c r="D19" i="1"/>
  <c r="D17" i="1"/>
  <c r="D18" i="1" s="1"/>
  <c r="D20" i="1" s="1"/>
  <c r="E14" i="3" l="1"/>
  <c r="B18" i="3" s="1"/>
  <c r="B19" i="3" s="1"/>
  <c r="F9" i="3" s="1"/>
  <c r="G9" i="3" s="1"/>
  <c r="G5" i="2"/>
  <c r="G6" i="2" s="1"/>
  <c r="F11" i="3" l="1"/>
  <c r="G11" i="3" s="1"/>
  <c r="F7" i="3"/>
  <c r="G7" i="3" s="1"/>
  <c r="F13" i="3"/>
  <c r="G13" i="3" s="1"/>
  <c r="F6" i="3"/>
  <c r="G6" i="3" s="1"/>
  <c r="F10" i="3"/>
  <c r="G10" i="3" s="1"/>
  <c r="F4" i="3"/>
  <c r="G4" i="3" s="1"/>
  <c r="F5" i="3"/>
  <c r="G5" i="3" s="1"/>
  <c r="F8" i="3"/>
  <c r="G8" i="3" s="1"/>
  <c r="F12" i="3"/>
  <c r="G12" i="3" s="1"/>
  <c r="F2" i="3"/>
  <c r="G2" i="3" s="1"/>
  <c r="F3" i="3"/>
  <c r="G3" i="3" s="1"/>
</calcChain>
</file>

<file path=xl/sharedStrings.xml><?xml version="1.0" encoding="utf-8"?>
<sst xmlns="http://schemas.openxmlformats.org/spreadsheetml/2006/main" count="125" uniqueCount="94">
  <si>
    <t>Charges</t>
  </si>
  <si>
    <t>Montant</t>
  </si>
  <si>
    <t>Variable</t>
  </si>
  <si>
    <t>%</t>
  </si>
  <si>
    <t>Fixe</t>
  </si>
  <si>
    <t>Achat de bois</t>
  </si>
  <si>
    <t>Fournitures diverses</t>
  </si>
  <si>
    <t>Charges de personnel</t>
  </si>
  <si>
    <t>Maintenance</t>
  </si>
  <si>
    <t>Location</t>
  </si>
  <si>
    <t>Publicité</t>
  </si>
  <si>
    <t>Amortissements</t>
  </si>
  <si>
    <t>Charges d'intérets</t>
  </si>
  <si>
    <t>TOTAL</t>
  </si>
  <si>
    <t>Prix de vente</t>
  </si>
  <si>
    <t>Quantité</t>
  </si>
  <si>
    <t>CA</t>
  </si>
  <si>
    <t>Compte de résultat différentiel</t>
  </si>
  <si>
    <t>Chiffre d'affaire</t>
  </si>
  <si>
    <t>Couts variables</t>
  </si>
  <si>
    <t>Marge sur couts variables</t>
  </si>
  <si>
    <t>-</t>
  </si>
  <si>
    <t>=</t>
  </si>
  <si>
    <t>Couts fixes</t>
  </si>
  <si>
    <t>Marge nette</t>
  </si>
  <si>
    <t>Charges variables unitaires</t>
  </si>
  <si>
    <t>Taux marges sur couts variables</t>
  </si>
  <si>
    <t>Taux de rentabilité</t>
  </si>
  <si>
    <t>Augmentation du résultat de 25%</t>
  </si>
  <si>
    <t>Hausse de 25%</t>
  </si>
  <si>
    <t>Résultat</t>
  </si>
  <si>
    <t>CA-CV-CF=567500</t>
  </si>
  <si>
    <t>MCV-CF=567500</t>
  </si>
  <si>
    <t>CA*0,6582-CF=567500</t>
  </si>
  <si>
    <t>CA*0,6582=567500+CF</t>
  </si>
  <si>
    <t>CA*0,6582=567500+796600</t>
  </si>
  <si>
    <t>CA*0,6582=1364100</t>
  </si>
  <si>
    <t>CA = 1364100/0,6582</t>
  </si>
  <si>
    <t>Taux de rentabilité de 30%</t>
  </si>
  <si>
    <t>CA-CF-CV=30%*CA</t>
  </si>
  <si>
    <t>MCV-CF=0,3*CA</t>
  </si>
  <si>
    <t>0,6582*CA-CF=0,3*CA</t>
  </si>
  <si>
    <t>0,3582*CA=CF</t>
  </si>
  <si>
    <t>CA=CF/0,3582</t>
  </si>
  <si>
    <t>Seuil de rentabilité en valeur = CF/Taux de mscv</t>
  </si>
  <si>
    <t>Seuil de rentabilité en quantité</t>
  </si>
  <si>
    <t>CA-CV-CF=MN</t>
  </si>
  <si>
    <t>MSCV-CF=0</t>
  </si>
  <si>
    <t>Ca*taux de mscv-cf=0</t>
  </si>
  <si>
    <t>Sr valeur/PV</t>
  </si>
  <si>
    <t>\= CF/taux de mscv</t>
  </si>
  <si>
    <t>CA=CF/taux mscv</t>
  </si>
  <si>
    <t>Marge sur vouts variables unitaires</t>
  </si>
  <si>
    <t>CF/mscv unitaire</t>
  </si>
  <si>
    <t>SR Valeur</t>
  </si>
  <si>
    <t>Marge de sécurité</t>
  </si>
  <si>
    <t>CA-SR</t>
  </si>
  <si>
    <t>Indice de sécurité</t>
  </si>
  <si>
    <t>MS/CA</t>
  </si>
  <si>
    <t>1+MS/CA</t>
  </si>
  <si>
    <t>Point mort</t>
  </si>
  <si>
    <t>Date à laquelle les sr sont atteint</t>
  </si>
  <si>
    <t>SR/CA*360</t>
  </si>
  <si>
    <t>jours</t>
  </si>
  <si>
    <t>Pendant les 229 premiers jours ont paye les charges et le reste de l'année ont fait du bénéfice</t>
  </si>
  <si>
    <t>X</t>
  </si>
  <si>
    <t>Y</t>
  </si>
  <si>
    <t>X barre</t>
  </si>
  <si>
    <t>Y barre</t>
  </si>
  <si>
    <t>Xi.Yi</t>
  </si>
  <si>
    <t>Xi²</t>
  </si>
  <si>
    <t>n</t>
  </si>
  <si>
    <t>a</t>
  </si>
  <si>
    <t>Somme</t>
  </si>
  <si>
    <t>b</t>
  </si>
  <si>
    <t>Elements de la droite affine</t>
  </si>
  <si>
    <t>956,29X+36659,09</t>
  </si>
  <si>
    <t>Y ajusté</t>
  </si>
  <si>
    <t>Période</t>
  </si>
  <si>
    <t>1er trimestre</t>
  </si>
  <si>
    <t>2e trimestre</t>
  </si>
  <si>
    <t>3e trimestre</t>
  </si>
  <si>
    <t>4e trimestre</t>
  </si>
  <si>
    <t>XiYi</t>
  </si>
  <si>
    <t>4,80X+106,05</t>
  </si>
  <si>
    <t>Y/Y'</t>
  </si>
  <si>
    <t>Coef saison</t>
  </si>
  <si>
    <t>Prévision pour l'année N+1</t>
  </si>
  <si>
    <t>Semestre 1</t>
  </si>
  <si>
    <t>Semestre 2</t>
  </si>
  <si>
    <t>Semestre 3</t>
  </si>
  <si>
    <t>Semestre 4</t>
  </si>
  <si>
    <t>Coef par trimestre</t>
  </si>
  <si>
    <t>Prev ventes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</si>
</sst>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1D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1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1" fillId="0" borderId="0" xfId="0" applyFont="1" applyAlignment="1">
      <alignment horizontal="right"/>
    </xf>
    <xf numFmtId="0" fontId="0" fillId="0" borderId="1" xfId="0" applyBorder="1" applyAlignment="1"/>
    <xf numFmtId="164" fontId="0" fillId="0" borderId="1" xfId="0" applyNumberFormat="1" applyBorder="1"/>
    <xf numFmtId="2" fontId="0" fillId="0" borderId="0" xfId="0" applyNumberFormat="1" applyAlignment="1"/>
    <xf numFmtId="1" fontId="0" fillId="0" borderId="0" xfId="0" applyNumberFormat="1"/>
    <xf numFmtId="0" fontId="0" fillId="0" borderId="0" xfId="0" applyBorder="1" applyAlignment="1">
      <alignment vertical="center"/>
    </xf>
    <xf numFmtId="1" fontId="0" fillId="0" borderId="1" xfId="0" applyNumberFormat="1" applyBorder="1"/>
    <xf numFmtId="2" fontId="0" fillId="0" borderId="1" xfId="0" applyNumberFormat="1" applyBorder="1"/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0" fillId="0" borderId="5" xfId="0" applyBorder="1"/>
    <xf numFmtId="0" fontId="1" fillId="2" borderId="5" xfId="0" applyFont="1" applyFill="1" applyBorder="1"/>
    <xf numFmtId="0" fontId="1" fillId="2" borderId="6" xfId="0" applyFont="1" applyFill="1" applyBorder="1"/>
    <xf numFmtId="0" fontId="0" fillId="0" borderId="7" xfId="0" applyBorder="1"/>
    <xf numFmtId="0" fontId="4" fillId="0" borderId="0" xfId="0" applyFont="1"/>
    <xf numFmtId="0" fontId="0" fillId="3" borderId="1" xfId="0" applyFill="1" applyBorder="1"/>
    <xf numFmtId="2" fontId="0" fillId="3" borderId="1" xfId="0" applyNumberFormat="1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6" borderId="1" xfId="0" applyNumberForma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49943635170603673"/>
                  <c:y val="-8.360199766695829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val>
            <c:numRef>
              <c:f>'Cours 2'!$B$2:$B$13</c:f>
              <c:numCache>
                <c:formatCode>General</c:formatCode>
                <c:ptCount val="12"/>
                <c:pt idx="0">
                  <c:v>26500</c:v>
                </c:pt>
                <c:pt idx="1">
                  <c:v>49000</c:v>
                </c:pt>
                <c:pt idx="2">
                  <c:v>45500</c:v>
                </c:pt>
                <c:pt idx="3">
                  <c:v>41000</c:v>
                </c:pt>
                <c:pt idx="4">
                  <c:v>29000</c:v>
                </c:pt>
                <c:pt idx="5">
                  <c:v>52500</c:v>
                </c:pt>
                <c:pt idx="6">
                  <c:v>47000</c:v>
                </c:pt>
                <c:pt idx="7">
                  <c:v>43000</c:v>
                </c:pt>
                <c:pt idx="8">
                  <c:v>30000</c:v>
                </c:pt>
                <c:pt idx="9">
                  <c:v>55000</c:v>
                </c:pt>
                <c:pt idx="10">
                  <c:v>49000</c:v>
                </c:pt>
                <c:pt idx="11">
                  <c:v>47000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9F-42F3-9548-1F0CB441E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75823"/>
        <c:axId val="571077071"/>
      </c:lineChart>
      <c:catAx>
        <c:axId val="57107582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1077071"/>
        <c:crosses val="autoZero"/>
        <c:auto val="1"/>
        <c:lblAlgn val="ctr"/>
        <c:lblOffset val="100"/>
        <c:noMultiLvlLbl val="0"/>
      </c:catAx>
      <c:valAx>
        <c:axId val="571077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10758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Ventes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-0.51878346456692914"/>
                  <c:y val="-0.1465532954214056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</c:trendlineLbl>
          </c:trendline>
          <c:val>
            <c:numRef>
              <c:f>'TD2-LUX'!$B$2:$B$13</c:f>
              <c:numCache>
                <c:formatCode>General</c:formatCode>
                <c:ptCount val="12"/>
                <c:pt idx="0">
                  <c:v>84</c:v>
                </c:pt>
                <c:pt idx="1">
                  <c:v>123</c:v>
                </c:pt>
                <c:pt idx="2">
                  <c:v>165</c:v>
                </c:pt>
                <c:pt idx="3">
                  <c:v>108</c:v>
                </c:pt>
                <c:pt idx="4">
                  <c:v>103</c:v>
                </c:pt>
                <c:pt idx="5">
                  <c:v>137</c:v>
                </c:pt>
                <c:pt idx="6">
                  <c:v>200</c:v>
                </c:pt>
                <c:pt idx="7">
                  <c:v>124</c:v>
                </c:pt>
                <c:pt idx="8">
                  <c:v>100</c:v>
                </c:pt>
                <c:pt idx="9">
                  <c:v>167</c:v>
                </c:pt>
                <c:pt idx="10">
                  <c:v>196</c:v>
                </c:pt>
                <c:pt idx="11">
                  <c:v>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DA-4344-A524-FACDA748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180671"/>
        <c:axId val="660179007"/>
      </c:lineChart>
      <c:catAx>
        <c:axId val="6601806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179007"/>
        <c:crosses val="autoZero"/>
        <c:auto val="1"/>
        <c:lblAlgn val="ctr"/>
        <c:lblOffset val="100"/>
        <c:noMultiLvlLbl val="0"/>
      </c:catAx>
      <c:valAx>
        <c:axId val="660179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018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142875</xdr:colOff>
      <xdr:row>0</xdr:row>
      <xdr:rowOff>136525</xdr:rowOff>
    </xdr:from>
    <xdr:to>
      <xdr:col>15</xdr:col>
      <xdr:colOff>142875</xdr:colOff>
      <xdr:row>15</xdr:row>
      <xdr:rowOff>117475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E996B8A1-1C8A-487C-AE6A-5F3E6581A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739775</xdr:colOff>
      <xdr:row>8</xdr:row>
      <xdr:rowOff>28575</xdr:rowOff>
    </xdr:from>
    <xdr:to>
      <xdr:col>13</xdr:col>
      <xdr:colOff>739775</xdr:colOff>
      <xdr:row>23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AFF8913-AA8B-40E2-A3D1-B31B947676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33B1A-A8D3-4EC3-A14A-5FECCDCCADE8}">
  <dimension ref="A1:I56"/>
  <sheetViews>
    <sheetView topLeftCell="A42" workbookViewId="0">
      <selection activeCell="C56" sqref="C56"/>
    </sheetView>
  </sheetViews>
  <sheetFormatPr baseColWidth="10" defaultRowHeight="14.5" x14ac:dyDescent="0.35"/>
  <cols>
    <col min="3" max="3" width="19.08984375" customWidth="1"/>
    <col min="9" max="9" width="16.1796875" bestFit="1" customWidth="1"/>
  </cols>
  <sheetData>
    <row r="1" spans="2:9" x14ac:dyDescent="0.35">
      <c r="B1" s="33" t="s">
        <v>0</v>
      </c>
      <c r="C1" s="33"/>
      <c r="D1" s="33" t="s">
        <v>1</v>
      </c>
      <c r="E1" s="33"/>
      <c r="F1" s="33" t="s">
        <v>2</v>
      </c>
      <c r="G1" s="33"/>
      <c r="H1" s="33" t="s">
        <v>4</v>
      </c>
      <c r="I1" s="33"/>
    </row>
    <row r="2" spans="2:9" x14ac:dyDescent="0.35">
      <c r="B2" s="33"/>
      <c r="C2" s="33"/>
      <c r="D2" s="33"/>
      <c r="E2" s="33"/>
      <c r="F2" s="2" t="s">
        <v>3</v>
      </c>
      <c r="G2" s="2" t="s">
        <v>1</v>
      </c>
      <c r="H2" s="2" t="s">
        <v>3</v>
      </c>
      <c r="I2" s="2" t="s">
        <v>1</v>
      </c>
    </row>
    <row r="3" spans="2:9" x14ac:dyDescent="0.35">
      <c r="B3" s="34" t="s">
        <v>5</v>
      </c>
      <c r="C3" s="34"/>
      <c r="D3" s="34">
        <v>120000</v>
      </c>
      <c r="E3" s="34"/>
      <c r="F3" s="3"/>
      <c r="G3" s="3">
        <v>120000</v>
      </c>
      <c r="H3" s="3"/>
      <c r="I3" s="3"/>
    </row>
    <row r="4" spans="2:9" x14ac:dyDescent="0.35">
      <c r="B4" s="34" t="s">
        <v>6</v>
      </c>
      <c r="C4" s="34"/>
      <c r="D4" s="34">
        <v>33000</v>
      </c>
      <c r="E4" s="34"/>
      <c r="F4" s="3">
        <v>100</v>
      </c>
      <c r="G4" s="3">
        <v>33000</v>
      </c>
      <c r="H4" s="3"/>
      <c r="I4" s="3"/>
    </row>
    <row r="5" spans="2:9" x14ac:dyDescent="0.35">
      <c r="B5" s="34" t="s">
        <v>7</v>
      </c>
      <c r="C5" s="34"/>
      <c r="D5" s="34">
        <v>640000</v>
      </c>
      <c r="E5" s="34"/>
      <c r="F5" s="3">
        <v>70</v>
      </c>
      <c r="G5" s="3">
        <v>448000</v>
      </c>
      <c r="H5" s="3">
        <v>30</v>
      </c>
      <c r="I5" s="3">
        <v>192000</v>
      </c>
    </row>
    <row r="6" spans="2:9" x14ac:dyDescent="0.35">
      <c r="B6" s="34" t="s">
        <v>8</v>
      </c>
      <c r="C6" s="34"/>
      <c r="D6" s="34">
        <v>225000</v>
      </c>
      <c r="E6" s="34"/>
      <c r="F6" s="3">
        <v>20</v>
      </c>
      <c r="G6" s="3">
        <v>45000</v>
      </c>
      <c r="H6" s="3">
        <v>80</v>
      </c>
      <c r="I6" s="3">
        <v>180000</v>
      </c>
    </row>
    <row r="7" spans="2:9" x14ac:dyDescent="0.35">
      <c r="B7" s="34" t="s">
        <v>9</v>
      </c>
      <c r="C7" s="34"/>
      <c r="D7" s="34">
        <v>24000</v>
      </c>
      <c r="E7" s="34"/>
      <c r="F7" s="3"/>
      <c r="G7" s="3"/>
      <c r="H7" s="3"/>
      <c r="I7" s="3">
        <v>24000</v>
      </c>
    </row>
    <row r="8" spans="2:9" x14ac:dyDescent="0.35">
      <c r="B8" s="34" t="s">
        <v>10</v>
      </c>
      <c r="C8" s="34"/>
      <c r="D8" s="34">
        <v>34000</v>
      </c>
      <c r="E8" s="34"/>
      <c r="F8" s="3">
        <v>10</v>
      </c>
      <c r="G8" s="3">
        <v>3400</v>
      </c>
      <c r="H8" s="3">
        <v>90</v>
      </c>
      <c r="I8" s="3">
        <v>30600</v>
      </c>
    </row>
    <row r="9" spans="2:9" x14ac:dyDescent="0.35">
      <c r="B9" s="34" t="s">
        <v>11</v>
      </c>
      <c r="C9" s="34"/>
      <c r="D9" s="34">
        <v>320000</v>
      </c>
      <c r="E9" s="34"/>
      <c r="F9" s="3"/>
      <c r="G9" s="3"/>
      <c r="H9" s="3"/>
      <c r="I9" s="3">
        <v>320000</v>
      </c>
    </row>
    <row r="10" spans="2:9" x14ac:dyDescent="0.35">
      <c r="B10" s="34" t="s">
        <v>12</v>
      </c>
      <c r="C10" s="34"/>
      <c r="D10" s="34">
        <v>50000</v>
      </c>
      <c r="E10" s="34"/>
      <c r="F10" s="3"/>
      <c r="G10" s="3"/>
      <c r="H10" s="3"/>
      <c r="I10" s="3">
        <v>50000</v>
      </c>
    </row>
    <row r="11" spans="2:9" x14ac:dyDescent="0.35">
      <c r="B11" s="34" t="s">
        <v>13</v>
      </c>
      <c r="C11" s="34"/>
      <c r="D11" s="34">
        <v>1446000</v>
      </c>
      <c r="E11" s="34"/>
      <c r="F11" s="3"/>
      <c r="G11" s="3">
        <v>649400</v>
      </c>
      <c r="H11" s="3"/>
      <c r="I11" s="3">
        <v>796600</v>
      </c>
    </row>
    <row r="12" spans="2:9" x14ac:dyDescent="0.35">
      <c r="B12" s="4"/>
      <c r="C12" s="4"/>
      <c r="D12" s="4"/>
      <c r="E12" s="4"/>
      <c r="F12" s="4"/>
      <c r="G12" s="4"/>
      <c r="H12" s="4"/>
      <c r="I12" s="4"/>
    </row>
    <row r="13" spans="2:9" x14ac:dyDescent="0.35">
      <c r="B13" s="34" t="s">
        <v>14</v>
      </c>
      <c r="C13" s="34"/>
      <c r="D13" s="34">
        <v>190</v>
      </c>
      <c r="E13" s="34"/>
      <c r="F13" s="3" t="s">
        <v>15</v>
      </c>
      <c r="G13" s="3">
        <v>10000</v>
      </c>
      <c r="H13" s="3" t="s">
        <v>16</v>
      </c>
      <c r="I13" s="3">
        <v>1900000</v>
      </c>
    </row>
    <row r="15" spans="2:9" x14ac:dyDescent="0.35">
      <c r="B15" s="33" t="s">
        <v>17</v>
      </c>
      <c r="C15" s="33"/>
      <c r="D15" s="33"/>
      <c r="E15" s="33"/>
    </row>
    <row r="16" spans="2:9" x14ac:dyDescent="0.35">
      <c r="B16" s="33" t="s">
        <v>18</v>
      </c>
      <c r="C16" s="33"/>
      <c r="D16" s="35">
        <v>1900000</v>
      </c>
      <c r="E16" s="36"/>
      <c r="H16" s="12"/>
      <c r="I16" s="12"/>
    </row>
    <row r="17" spans="1:9" x14ac:dyDescent="0.35">
      <c r="A17" s="7" t="s">
        <v>21</v>
      </c>
      <c r="B17" s="33" t="s">
        <v>19</v>
      </c>
      <c r="C17" s="33"/>
      <c r="D17" s="35">
        <f>G11</f>
        <v>649400</v>
      </c>
      <c r="E17" s="36"/>
      <c r="F17">
        <f>D17/G13</f>
        <v>64.94</v>
      </c>
      <c r="G17" s="38" t="s">
        <v>25</v>
      </c>
      <c r="H17" s="39"/>
      <c r="I17" s="40"/>
    </row>
    <row r="18" spans="1:9" x14ac:dyDescent="0.35">
      <c r="A18" s="7" t="s">
        <v>22</v>
      </c>
      <c r="B18" s="33" t="s">
        <v>20</v>
      </c>
      <c r="C18" s="33"/>
      <c r="D18" s="35">
        <f>D16-D17</f>
        <v>1250600</v>
      </c>
      <c r="E18" s="36"/>
      <c r="F18" s="9">
        <f>D18/D16</f>
        <v>0.65821052631578947</v>
      </c>
      <c r="G18" s="34" t="s">
        <v>26</v>
      </c>
      <c r="H18" s="34"/>
      <c r="I18" s="34"/>
    </row>
    <row r="19" spans="1:9" x14ac:dyDescent="0.35">
      <c r="A19" s="7" t="s">
        <v>21</v>
      </c>
      <c r="B19" s="33" t="s">
        <v>23</v>
      </c>
      <c r="C19" s="33"/>
      <c r="D19" s="35">
        <f>I11</f>
        <v>796600</v>
      </c>
      <c r="E19" s="36"/>
    </row>
    <row r="20" spans="1:9" x14ac:dyDescent="0.35">
      <c r="A20" s="7" t="s">
        <v>22</v>
      </c>
      <c r="B20" s="33" t="s">
        <v>24</v>
      </c>
      <c r="C20" s="33"/>
      <c r="D20" s="35">
        <f>D18-D19</f>
        <v>454000</v>
      </c>
      <c r="E20" s="36"/>
      <c r="F20" s="6">
        <f>D20/D16</f>
        <v>0.23894736842105263</v>
      </c>
      <c r="G20" s="34" t="s">
        <v>27</v>
      </c>
      <c r="H20" s="34"/>
      <c r="I20" s="34"/>
    </row>
    <row r="22" spans="1:9" x14ac:dyDescent="0.35">
      <c r="B22" s="37" t="s">
        <v>28</v>
      </c>
      <c r="C22" s="37"/>
      <c r="D22" s="37"/>
    </row>
    <row r="23" spans="1:9" x14ac:dyDescent="0.35">
      <c r="B23" s="8"/>
      <c r="C23" s="8"/>
      <c r="D23" s="5" t="s">
        <v>29</v>
      </c>
      <c r="E23" s="5"/>
    </row>
    <row r="24" spans="1:9" x14ac:dyDescent="0.35">
      <c r="B24" s="3" t="s">
        <v>30</v>
      </c>
      <c r="C24" s="3">
        <v>454000</v>
      </c>
      <c r="D24" s="5">
        <f>C24*1.25</f>
        <v>567500</v>
      </c>
      <c r="E24" s="5"/>
      <c r="G24" t="s">
        <v>31</v>
      </c>
    </row>
    <row r="25" spans="1:9" x14ac:dyDescent="0.35">
      <c r="G25" t="s">
        <v>32</v>
      </c>
    </row>
    <row r="26" spans="1:9" x14ac:dyDescent="0.35">
      <c r="G26" t="s">
        <v>33</v>
      </c>
    </row>
    <row r="27" spans="1:9" x14ac:dyDescent="0.35">
      <c r="B27" t="s">
        <v>16</v>
      </c>
      <c r="C27">
        <f>(D24+D19)/F18</f>
        <v>2072437.2301295379</v>
      </c>
      <c r="G27" t="s">
        <v>34</v>
      </c>
    </row>
    <row r="28" spans="1:9" x14ac:dyDescent="0.35">
      <c r="G28" t="s">
        <v>35</v>
      </c>
    </row>
    <row r="29" spans="1:9" x14ac:dyDescent="0.35">
      <c r="G29" t="s">
        <v>36</v>
      </c>
    </row>
    <row r="30" spans="1:9" x14ac:dyDescent="0.35">
      <c r="G30" t="s">
        <v>37</v>
      </c>
    </row>
    <row r="31" spans="1:9" x14ac:dyDescent="0.35">
      <c r="G31" t="s">
        <v>37</v>
      </c>
    </row>
    <row r="33" spans="1:8" x14ac:dyDescent="0.35">
      <c r="B33" s="41" t="s">
        <v>38</v>
      </c>
      <c r="C33" s="41"/>
      <c r="D33" s="41"/>
    </row>
    <row r="35" spans="1:8" x14ac:dyDescent="0.35">
      <c r="B35" s="1" t="s">
        <v>16</v>
      </c>
      <c r="C35" s="10">
        <f>D19/(F18-0.3)</f>
        <v>2223831.9130179253</v>
      </c>
      <c r="G35" s="43" t="s">
        <v>39</v>
      </c>
      <c r="H35" s="43"/>
    </row>
    <row r="36" spans="1:8" x14ac:dyDescent="0.35">
      <c r="G36" s="43" t="s">
        <v>40</v>
      </c>
      <c r="H36" s="43"/>
    </row>
    <row r="37" spans="1:8" x14ac:dyDescent="0.35">
      <c r="G37" s="43" t="s">
        <v>41</v>
      </c>
      <c r="H37" s="43"/>
    </row>
    <row r="38" spans="1:8" x14ac:dyDescent="0.35">
      <c r="G38" s="43" t="s">
        <v>42</v>
      </c>
      <c r="H38" s="43"/>
    </row>
    <row r="39" spans="1:8" x14ac:dyDescent="0.35">
      <c r="G39" s="43" t="s">
        <v>43</v>
      </c>
      <c r="H39" s="43"/>
    </row>
    <row r="42" spans="1:8" x14ac:dyDescent="0.35">
      <c r="A42" s="42" t="s">
        <v>44</v>
      </c>
      <c r="B42" s="42"/>
      <c r="C42" s="42"/>
      <c r="D42" s="42" t="s">
        <v>50</v>
      </c>
      <c r="E42" s="42"/>
      <c r="F42" s="11">
        <f>D19/F18</f>
        <v>1210251.0794818487</v>
      </c>
      <c r="G42" s="43" t="s">
        <v>46</v>
      </c>
      <c r="H42" s="43"/>
    </row>
    <row r="43" spans="1:8" x14ac:dyDescent="0.35">
      <c r="G43" s="43" t="s">
        <v>47</v>
      </c>
      <c r="H43" s="43"/>
    </row>
    <row r="44" spans="1:8" x14ac:dyDescent="0.35">
      <c r="A44" s="42" t="s">
        <v>45</v>
      </c>
      <c r="B44" s="42"/>
      <c r="C44" s="42"/>
      <c r="D44" s="42" t="s">
        <v>49</v>
      </c>
      <c r="E44" s="42"/>
      <c r="F44" s="11">
        <f>F42/D13</f>
        <v>6369.7425235886776</v>
      </c>
      <c r="G44" s="43" t="s">
        <v>48</v>
      </c>
      <c r="H44" s="43"/>
    </row>
    <row r="45" spans="1:8" x14ac:dyDescent="0.35">
      <c r="G45" s="43" t="s">
        <v>51</v>
      </c>
      <c r="H45" s="43"/>
    </row>
    <row r="47" spans="1:8" x14ac:dyDescent="0.35">
      <c r="B47" s="33" t="s">
        <v>52</v>
      </c>
      <c r="C47" s="33"/>
      <c r="D47" s="3">
        <f>D13-F17</f>
        <v>125.06</v>
      </c>
    </row>
    <row r="48" spans="1:8" x14ac:dyDescent="0.35">
      <c r="B48" s="44" t="s">
        <v>45</v>
      </c>
      <c r="C48" s="45"/>
      <c r="D48" s="3" t="s">
        <v>53</v>
      </c>
      <c r="E48" s="13">
        <f>D19/D47</f>
        <v>6369.7425235886776</v>
      </c>
      <c r="F48" s="3" t="s">
        <v>54</v>
      </c>
      <c r="G48" s="13">
        <f>E48*D13</f>
        <v>1210251.0794818487</v>
      </c>
    </row>
    <row r="50" spans="2:9" x14ac:dyDescent="0.35">
      <c r="B50" s="33" t="s">
        <v>55</v>
      </c>
      <c r="C50" s="33"/>
      <c r="D50" s="3" t="s">
        <v>56</v>
      </c>
      <c r="E50" s="13">
        <f>D16-G48</f>
        <v>689748.92051815125</v>
      </c>
    </row>
    <row r="52" spans="2:9" x14ac:dyDescent="0.35">
      <c r="B52" s="33" t="s">
        <v>57</v>
      </c>
      <c r="C52" s="33"/>
      <c r="D52" s="3" t="s">
        <v>58</v>
      </c>
      <c r="E52" s="6">
        <f>E50/D16</f>
        <v>0.36302574764113221</v>
      </c>
      <c r="F52" s="3" t="s">
        <v>59</v>
      </c>
      <c r="G52" s="14">
        <f>1+E52</f>
        <v>1.3630257476411323</v>
      </c>
    </row>
    <row r="54" spans="2:9" x14ac:dyDescent="0.35">
      <c r="B54" s="1" t="s">
        <v>60</v>
      </c>
      <c r="C54" s="42" t="s">
        <v>61</v>
      </c>
      <c r="D54" s="42"/>
      <c r="F54" t="s">
        <v>62</v>
      </c>
      <c r="G54" s="11">
        <f>(G48/D16)*360</f>
        <v>229.3107308491924</v>
      </c>
      <c r="H54" t="s">
        <v>63</v>
      </c>
      <c r="I54" s="16"/>
    </row>
    <row r="55" spans="2:9" x14ac:dyDescent="0.35">
      <c r="B55" s="43" t="s">
        <v>64</v>
      </c>
      <c r="C55" s="43"/>
      <c r="D55" s="43"/>
      <c r="E55" s="43"/>
      <c r="F55" s="43"/>
      <c r="G55" s="43"/>
      <c r="H55" s="43"/>
    </row>
    <row r="56" spans="2:9" x14ac:dyDescent="0.35">
      <c r="D56" s="15"/>
    </row>
  </sheetData>
  <mergeCells count="59">
    <mergeCell ref="B55:H55"/>
    <mergeCell ref="B47:C47"/>
    <mergeCell ref="B50:C50"/>
    <mergeCell ref="B52:C52"/>
    <mergeCell ref="B48:C48"/>
    <mergeCell ref="C54:D54"/>
    <mergeCell ref="G42:H42"/>
    <mergeCell ref="G43:H43"/>
    <mergeCell ref="G44:H44"/>
    <mergeCell ref="G45:H45"/>
    <mergeCell ref="G35:H35"/>
    <mergeCell ref="G36:H36"/>
    <mergeCell ref="G37:H37"/>
    <mergeCell ref="G38:H38"/>
    <mergeCell ref="G39:H39"/>
    <mergeCell ref="B33:D33"/>
    <mergeCell ref="D42:E42"/>
    <mergeCell ref="D44:E44"/>
    <mergeCell ref="A42:C42"/>
    <mergeCell ref="A44:C44"/>
    <mergeCell ref="B22:D22"/>
    <mergeCell ref="G17:I17"/>
    <mergeCell ref="B19:C19"/>
    <mergeCell ref="B20:C20"/>
    <mergeCell ref="B18:C18"/>
    <mergeCell ref="D18:E18"/>
    <mergeCell ref="D19:E19"/>
    <mergeCell ref="D20:E20"/>
    <mergeCell ref="G20:I20"/>
    <mergeCell ref="G18:I18"/>
    <mergeCell ref="B13:C13"/>
    <mergeCell ref="D13:E13"/>
    <mergeCell ref="B15:E15"/>
    <mergeCell ref="B16:C16"/>
    <mergeCell ref="B17:C17"/>
    <mergeCell ref="D16:E16"/>
    <mergeCell ref="D17:E17"/>
    <mergeCell ref="B8:C8"/>
    <mergeCell ref="B9:C9"/>
    <mergeCell ref="B10:C10"/>
    <mergeCell ref="B11:C11"/>
    <mergeCell ref="D6:E6"/>
    <mergeCell ref="D7:E7"/>
    <mergeCell ref="D8:E8"/>
    <mergeCell ref="D9:E9"/>
    <mergeCell ref="D10:E10"/>
    <mergeCell ref="D11:E11"/>
    <mergeCell ref="B7:C7"/>
    <mergeCell ref="B4:C4"/>
    <mergeCell ref="D4:E4"/>
    <mergeCell ref="B5:C5"/>
    <mergeCell ref="D5:E5"/>
    <mergeCell ref="B6:C6"/>
    <mergeCell ref="B1:C2"/>
    <mergeCell ref="D1:E2"/>
    <mergeCell ref="F1:G1"/>
    <mergeCell ref="H1:I1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2CBEC-6222-4C3D-AC4E-201A03A6C89D}">
  <dimension ref="A1:I14"/>
  <sheetViews>
    <sheetView workbookViewId="0">
      <selection activeCell="G6" sqref="G6"/>
    </sheetView>
  </sheetViews>
  <sheetFormatPr baseColWidth="10" defaultRowHeight="14.5" x14ac:dyDescent="0.35"/>
  <cols>
    <col min="7" max="7" width="15.7265625" bestFit="1" customWidth="1"/>
  </cols>
  <sheetData>
    <row r="1" spans="1:9" x14ac:dyDescent="0.35">
      <c r="A1" s="17" t="s">
        <v>65</v>
      </c>
      <c r="B1" s="17" t="s">
        <v>66</v>
      </c>
      <c r="C1" s="18" t="s">
        <v>69</v>
      </c>
      <c r="D1" s="18" t="s">
        <v>70</v>
      </c>
      <c r="E1" s="18" t="s">
        <v>77</v>
      </c>
    </row>
    <row r="2" spans="1:9" x14ac:dyDescent="0.35">
      <c r="A2" s="5">
        <v>1</v>
      </c>
      <c r="B2" s="5">
        <v>26500</v>
      </c>
      <c r="C2" s="3">
        <f>A2*B2</f>
        <v>26500</v>
      </c>
      <c r="D2" s="3">
        <f t="shared" ref="D2:D13" si="0">A2*A2</f>
        <v>1</v>
      </c>
      <c r="E2" s="13">
        <f>A2*G5+G6</f>
        <v>37615.384615384617</v>
      </c>
      <c r="F2" s="19" t="s">
        <v>67</v>
      </c>
      <c r="G2" s="3">
        <f>AVERAGE(A2:A13)</f>
        <v>6.5</v>
      </c>
    </row>
    <row r="3" spans="1:9" x14ac:dyDescent="0.35">
      <c r="A3" s="5">
        <v>2</v>
      </c>
      <c r="B3" s="5">
        <v>49000</v>
      </c>
      <c r="C3" s="3">
        <f t="shared" ref="C3:C13" si="1">A3*B3</f>
        <v>98000</v>
      </c>
      <c r="D3" s="3">
        <f t="shared" si="0"/>
        <v>4</v>
      </c>
      <c r="E3" s="13">
        <f>A3*G5+G6</f>
        <v>38571.678321678322</v>
      </c>
      <c r="F3" s="19" t="s">
        <v>68</v>
      </c>
      <c r="G3" s="3">
        <f>AVERAGE(B2:B13)</f>
        <v>42875</v>
      </c>
    </row>
    <row r="4" spans="1:9" x14ac:dyDescent="0.35">
      <c r="A4" s="5">
        <v>3</v>
      </c>
      <c r="B4" s="5">
        <v>45500</v>
      </c>
      <c r="C4" s="3">
        <f t="shared" si="1"/>
        <v>136500</v>
      </c>
      <c r="D4" s="3">
        <f t="shared" si="0"/>
        <v>9</v>
      </c>
      <c r="E4" s="13">
        <f>A4*G5+G6</f>
        <v>39527.972027972028</v>
      </c>
      <c r="F4" s="19" t="s">
        <v>71</v>
      </c>
      <c r="G4" s="3">
        <f>COUNT(A2:A13)</f>
        <v>12</v>
      </c>
    </row>
    <row r="5" spans="1:9" x14ac:dyDescent="0.35">
      <c r="A5" s="5">
        <v>4</v>
      </c>
      <c r="B5" s="5">
        <v>41000</v>
      </c>
      <c r="C5" s="3">
        <f t="shared" si="1"/>
        <v>164000</v>
      </c>
      <c r="D5" s="3">
        <f t="shared" si="0"/>
        <v>16</v>
      </c>
      <c r="E5" s="13">
        <f>A5*G5+G6</f>
        <v>40484.26573426574</v>
      </c>
      <c r="F5" s="19" t="s">
        <v>72</v>
      </c>
      <c r="G5" s="14">
        <f>(C14-G4*G2*G3)/(D14-G4*G2*G2)</f>
        <v>956.29370629370635</v>
      </c>
      <c r="H5" s="46" t="s">
        <v>75</v>
      </c>
      <c r="I5" s="46"/>
    </row>
    <row r="6" spans="1:9" x14ac:dyDescent="0.35">
      <c r="A6" s="5">
        <v>5</v>
      </c>
      <c r="B6" s="5">
        <v>29000</v>
      </c>
      <c r="C6" s="3">
        <f t="shared" si="1"/>
        <v>145000</v>
      </c>
      <c r="D6" s="3">
        <f t="shared" si="0"/>
        <v>25</v>
      </c>
      <c r="E6" s="13">
        <f>A6*G5+G6</f>
        <v>41440.559440559446</v>
      </c>
      <c r="F6" s="19" t="s">
        <v>74</v>
      </c>
      <c r="G6" s="14">
        <f>G3-G5*G2</f>
        <v>36659.090909090912</v>
      </c>
      <c r="H6" s="46"/>
      <c r="I6" s="46"/>
    </row>
    <row r="7" spans="1:9" x14ac:dyDescent="0.35">
      <c r="A7" s="5">
        <v>6</v>
      </c>
      <c r="B7" s="5">
        <v>52500</v>
      </c>
      <c r="C7" s="3">
        <f t="shared" si="1"/>
        <v>315000</v>
      </c>
      <c r="D7" s="3">
        <f t="shared" si="0"/>
        <v>36</v>
      </c>
      <c r="E7" s="13">
        <f>A7*G5+G7</f>
        <v>5737.7622377622383</v>
      </c>
    </row>
    <row r="8" spans="1:9" x14ac:dyDescent="0.35">
      <c r="A8" s="5">
        <v>7</v>
      </c>
      <c r="B8" s="5">
        <v>47000</v>
      </c>
      <c r="C8" s="3">
        <f t="shared" si="1"/>
        <v>329000</v>
      </c>
      <c r="D8" s="3">
        <f t="shared" si="0"/>
        <v>49</v>
      </c>
      <c r="E8" s="13">
        <f>A8*G5+G6</f>
        <v>43353.146853146856</v>
      </c>
      <c r="F8" s="19" t="s">
        <v>66</v>
      </c>
      <c r="G8" s="14" t="s">
        <v>76</v>
      </c>
    </row>
    <row r="9" spans="1:9" x14ac:dyDescent="0.35">
      <c r="A9" s="5">
        <v>8</v>
      </c>
      <c r="B9" s="5">
        <v>43000</v>
      </c>
      <c r="C9" s="3">
        <f t="shared" si="1"/>
        <v>344000</v>
      </c>
      <c r="D9" s="3">
        <f t="shared" si="0"/>
        <v>64</v>
      </c>
      <c r="E9" s="13">
        <f>G5*A9+G6</f>
        <v>44309.440559440562</v>
      </c>
    </row>
    <row r="10" spans="1:9" x14ac:dyDescent="0.35">
      <c r="A10" s="5">
        <v>9</v>
      </c>
      <c r="B10" s="5">
        <v>30000</v>
      </c>
      <c r="C10" s="3">
        <f t="shared" si="1"/>
        <v>270000</v>
      </c>
      <c r="D10" s="3">
        <f t="shared" si="0"/>
        <v>81</v>
      </c>
      <c r="E10" s="13">
        <f>A10*G5+G6</f>
        <v>45265.734265734267</v>
      </c>
    </row>
    <row r="11" spans="1:9" x14ac:dyDescent="0.35">
      <c r="A11" s="5">
        <v>10</v>
      </c>
      <c r="B11" s="5">
        <v>55000</v>
      </c>
      <c r="C11" s="3">
        <f t="shared" si="1"/>
        <v>550000</v>
      </c>
      <c r="D11" s="3">
        <f t="shared" si="0"/>
        <v>100</v>
      </c>
      <c r="E11" s="13">
        <f>A11*G5+G6</f>
        <v>46222.02797202798</v>
      </c>
    </row>
    <row r="12" spans="1:9" x14ac:dyDescent="0.35">
      <c r="A12" s="5">
        <v>11</v>
      </c>
      <c r="B12" s="5">
        <v>49000</v>
      </c>
      <c r="C12" s="3">
        <f t="shared" si="1"/>
        <v>539000</v>
      </c>
      <c r="D12" s="3">
        <f t="shared" si="0"/>
        <v>121</v>
      </c>
      <c r="E12" s="13">
        <f>A12*G5+G6</f>
        <v>47178.321678321678</v>
      </c>
    </row>
    <row r="13" spans="1:9" x14ac:dyDescent="0.35">
      <c r="A13" s="5">
        <v>12</v>
      </c>
      <c r="B13" s="5">
        <v>47000</v>
      </c>
      <c r="C13" s="3">
        <f t="shared" si="1"/>
        <v>564000</v>
      </c>
      <c r="D13" s="3">
        <f t="shared" si="0"/>
        <v>144</v>
      </c>
      <c r="E13" s="13">
        <f>A13*G5+G6</f>
        <v>48134.61538461539</v>
      </c>
    </row>
    <row r="14" spans="1:9" x14ac:dyDescent="0.35">
      <c r="A14" s="18" t="s">
        <v>73</v>
      </c>
      <c r="B14" s="3"/>
      <c r="C14" s="3">
        <f>SUM(C2:C13)</f>
        <v>3481000</v>
      </c>
      <c r="D14" s="3">
        <f>SUM(D2:D13)</f>
        <v>650</v>
      </c>
    </row>
  </sheetData>
  <mergeCells count="1">
    <mergeCell ref="H5:I6"/>
  </mergeCells>
  <pageMargins left="0.7" right="0.7" top="0.75" bottom="0.75" header="0.3" footer="0.3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B9EB-E81E-4673-BDEF-E0EAE89BDF78}">
  <dimension ref="A1:M20"/>
  <sheetViews>
    <sheetView tabSelected="1" workbookViewId="0">
      <selection activeCell="C18" sqref="C18"/>
    </sheetView>
  </sheetViews>
  <sheetFormatPr baseColWidth="10" defaultRowHeight="14.5" x14ac:dyDescent="0.35"/>
  <cols>
    <col min="2" max="2" width="11.7265625" bestFit="1" customWidth="1"/>
    <col min="6" max="6" width="11.7265625" bestFit="1" customWidth="1"/>
    <col min="7" max="7" width="11.7265625" customWidth="1"/>
  </cols>
  <sheetData>
    <row r="1" spans="1:13" ht="15" thickBot="1" x14ac:dyDescent="0.4">
      <c r="A1" s="18" t="s">
        <v>78</v>
      </c>
      <c r="B1" s="18" t="s">
        <v>66</v>
      </c>
      <c r="C1" s="18" t="s">
        <v>65</v>
      </c>
      <c r="D1" s="21" t="s">
        <v>83</v>
      </c>
      <c r="E1" s="22" t="s">
        <v>70</v>
      </c>
      <c r="F1" s="22" t="s">
        <v>77</v>
      </c>
      <c r="G1" s="22" t="s">
        <v>85</v>
      </c>
      <c r="I1" s="47" t="s">
        <v>87</v>
      </c>
      <c r="J1" s="47"/>
      <c r="K1" s="47"/>
      <c r="L1" s="47"/>
      <c r="M1" s="47"/>
    </row>
    <row r="2" spans="1:13" x14ac:dyDescent="0.35">
      <c r="A2" s="25" t="s">
        <v>79</v>
      </c>
      <c r="B2" s="25">
        <v>84</v>
      </c>
      <c r="C2" s="25">
        <v>1</v>
      </c>
      <c r="D2" s="25">
        <f>B2*C2</f>
        <v>84</v>
      </c>
      <c r="E2" s="25">
        <f>C2*C2</f>
        <v>1</v>
      </c>
      <c r="F2" s="26">
        <f>B18*C2+B19</f>
        <v>110.84615384615385</v>
      </c>
      <c r="G2" s="26">
        <f>B2/F2</f>
        <v>0.7578070784177654</v>
      </c>
      <c r="I2" s="22" t="s">
        <v>92</v>
      </c>
      <c r="J2" s="22"/>
      <c r="K2" s="22" t="s">
        <v>65</v>
      </c>
      <c r="L2" s="22" t="s">
        <v>77</v>
      </c>
      <c r="M2" s="22" t="s">
        <v>93</v>
      </c>
    </row>
    <row r="3" spans="1:13" x14ac:dyDescent="0.35">
      <c r="A3" s="27" t="s">
        <v>80</v>
      </c>
      <c r="B3" s="27">
        <v>123</v>
      </c>
      <c r="C3" s="27">
        <v>2</v>
      </c>
      <c r="D3" s="27">
        <f t="shared" ref="D3:D13" si="0">B3*C3</f>
        <v>246</v>
      </c>
      <c r="E3" s="27">
        <f t="shared" ref="E3:E13" si="1">C3*C3</f>
        <v>4</v>
      </c>
      <c r="F3" s="30">
        <f>B18*C3+B19</f>
        <v>115.64685314685315</v>
      </c>
      <c r="G3" s="30">
        <f t="shared" ref="G3:G13" si="2">B3/F3</f>
        <v>1.0635827664399093</v>
      </c>
      <c r="I3" s="25" t="s">
        <v>88</v>
      </c>
      <c r="J3" s="26">
        <f>AVERAGE(G2,G6,G10)</f>
        <v>0.73994181484199151</v>
      </c>
      <c r="K3" s="25">
        <v>13</v>
      </c>
      <c r="L3" s="26">
        <f>B18*K3+B19</f>
        <v>168.45454545454547</v>
      </c>
      <c r="M3" s="26">
        <f>L3*J3</f>
        <v>124.64656208201913</v>
      </c>
    </row>
    <row r="4" spans="1:13" x14ac:dyDescent="0.35">
      <c r="A4" s="28" t="s">
        <v>81</v>
      </c>
      <c r="B4" s="28">
        <v>165</v>
      </c>
      <c r="C4" s="28">
        <v>3</v>
      </c>
      <c r="D4" s="28">
        <f t="shared" si="0"/>
        <v>495</v>
      </c>
      <c r="E4" s="28">
        <f t="shared" si="1"/>
        <v>9</v>
      </c>
      <c r="F4" s="31">
        <f>C4*B18+B19</f>
        <v>120.44755244755245</v>
      </c>
      <c r="G4" s="31">
        <f t="shared" si="2"/>
        <v>1.3698908499767766</v>
      </c>
      <c r="I4" s="27" t="s">
        <v>89</v>
      </c>
      <c r="J4" s="30">
        <f>AVERAGE(G3,G7,G11)</f>
        <v>1.0545251446968493</v>
      </c>
      <c r="K4" s="27">
        <v>14</v>
      </c>
      <c r="L4" s="30">
        <f>B18*K4+B19</f>
        <v>173.25524475524475</v>
      </c>
      <c r="M4" s="30">
        <f t="shared" ref="M4:M6" si="3">L4*J4</f>
        <v>182.70201204501251</v>
      </c>
    </row>
    <row r="5" spans="1:13" x14ac:dyDescent="0.35">
      <c r="A5" s="29" t="s">
        <v>82</v>
      </c>
      <c r="B5" s="29">
        <v>108</v>
      </c>
      <c r="C5" s="29">
        <v>4</v>
      </c>
      <c r="D5" s="29">
        <f t="shared" si="0"/>
        <v>432</v>
      </c>
      <c r="E5" s="29">
        <f t="shared" si="1"/>
        <v>16</v>
      </c>
      <c r="F5" s="32">
        <f>C5*B18+B19</f>
        <v>125.24825174825175</v>
      </c>
      <c r="G5" s="32">
        <f t="shared" si="2"/>
        <v>0.86228748499483543</v>
      </c>
      <c r="I5" s="28" t="s">
        <v>90</v>
      </c>
      <c r="J5" s="31">
        <f>AVERAGE(G4,G8,G12)</f>
        <v>1.3452943529758796</v>
      </c>
      <c r="K5" s="28">
        <v>15</v>
      </c>
      <c r="L5" s="31">
        <f>B18*K5+B19</f>
        <v>178.05594405594405</v>
      </c>
      <c r="M5" s="31">
        <f t="shared" si="3"/>
        <v>239.53765605225067</v>
      </c>
    </row>
    <row r="6" spans="1:13" x14ac:dyDescent="0.35">
      <c r="A6" s="25" t="s">
        <v>79</v>
      </c>
      <c r="B6" s="25">
        <v>103</v>
      </c>
      <c r="C6" s="25">
        <v>5</v>
      </c>
      <c r="D6" s="25">
        <f t="shared" si="0"/>
        <v>515</v>
      </c>
      <c r="E6" s="25">
        <f t="shared" si="1"/>
        <v>25</v>
      </c>
      <c r="F6" s="26">
        <f>B18*C6+B19</f>
        <v>130.04895104895104</v>
      </c>
      <c r="G6" s="26">
        <f t="shared" si="2"/>
        <v>0.79200946389202564</v>
      </c>
      <c r="I6" s="29" t="s">
        <v>91</v>
      </c>
      <c r="J6" s="32">
        <f>AVERAGE(G5,G9,G13)</f>
        <v>0.85872464439687424</v>
      </c>
      <c r="K6" s="29">
        <v>16</v>
      </c>
      <c r="L6" s="32">
        <f>B18*K6+B19</f>
        <v>182.85664335664336</v>
      </c>
      <c r="M6" s="32">
        <f t="shared" si="3"/>
        <v>157.02350604203963</v>
      </c>
    </row>
    <row r="7" spans="1:13" x14ac:dyDescent="0.35">
      <c r="A7" s="27" t="s">
        <v>80</v>
      </c>
      <c r="B7" s="27">
        <v>137</v>
      </c>
      <c r="C7" s="27">
        <v>6</v>
      </c>
      <c r="D7" s="27">
        <f t="shared" si="0"/>
        <v>822</v>
      </c>
      <c r="E7" s="27">
        <f t="shared" si="1"/>
        <v>36</v>
      </c>
      <c r="F7" s="30">
        <f>B18*C7+B19</f>
        <v>134.84965034965035</v>
      </c>
      <c r="G7" s="30">
        <f t="shared" si="2"/>
        <v>1.0159462753130915</v>
      </c>
    </row>
    <row r="8" spans="1:13" x14ac:dyDescent="0.35">
      <c r="A8" s="28" t="s">
        <v>81</v>
      </c>
      <c r="B8" s="28">
        <v>200</v>
      </c>
      <c r="C8" s="28">
        <v>7</v>
      </c>
      <c r="D8" s="28">
        <f t="shared" si="0"/>
        <v>1400</v>
      </c>
      <c r="E8" s="28">
        <f t="shared" si="1"/>
        <v>49</v>
      </c>
      <c r="F8" s="31">
        <f>C8*B18+B19</f>
        <v>139.65034965034965</v>
      </c>
      <c r="G8" s="31">
        <f t="shared" si="2"/>
        <v>1.4321482223335003</v>
      </c>
    </row>
    <row r="9" spans="1:13" x14ac:dyDescent="0.35">
      <c r="A9" s="29" t="s">
        <v>82</v>
      </c>
      <c r="B9" s="29">
        <v>124</v>
      </c>
      <c r="C9" s="29">
        <v>8</v>
      </c>
      <c r="D9" s="29">
        <f t="shared" si="0"/>
        <v>992</v>
      </c>
      <c r="E9" s="29">
        <f t="shared" si="1"/>
        <v>64</v>
      </c>
      <c r="F9" s="32">
        <f>C9*B18+B19</f>
        <v>144.45104895104896</v>
      </c>
      <c r="G9" s="32">
        <f t="shared" si="2"/>
        <v>0.85842228838380163</v>
      </c>
    </row>
    <row r="10" spans="1:13" x14ac:dyDescent="0.35">
      <c r="A10" s="25" t="s">
        <v>79</v>
      </c>
      <c r="B10" s="25">
        <v>100</v>
      </c>
      <c r="C10" s="25">
        <v>9</v>
      </c>
      <c r="D10" s="25">
        <f t="shared" si="0"/>
        <v>900</v>
      </c>
      <c r="E10" s="25">
        <f t="shared" si="1"/>
        <v>81</v>
      </c>
      <c r="F10" s="26">
        <f>B18*C10+B19</f>
        <v>149.25174825174827</v>
      </c>
      <c r="G10" s="26">
        <f t="shared" si="2"/>
        <v>0.67000890221618326</v>
      </c>
    </row>
    <row r="11" spans="1:13" x14ac:dyDescent="0.35">
      <c r="A11" s="27" t="s">
        <v>80</v>
      </c>
      <c r="B11" s="27">
        <v>167</v>
      </c>
      <c r="C11" s="27">
        <v>10</v>
      </c>
      <c r="D11" s="27">
        <f t="shared" si="0"/>
        <v>1670</v>
      </c>
      <c r="E11" s="27">
        <f t="shared" si="1"/>
        <v>100</v>
      </c>
      <c r="F11" s="30">
        <f>B18*C11+B19</f>
        <v>154.05244755244755</v>
      </c>
      <c r="G11" s="30">
        <f t="shared" si="2"/>
        <v>1.0840463923375474</v>
      </c>
    </row>
    <row r="12" spans="1:13" x14ac:dyDescent="0.35">
      <c r="A12" s="28" t="s">
        <v>81</v>
      </c>
      <c r="B12" s="28">
        <v>196</v>
      </c>
      <c r="C12" s="28">
        <v>11</v>
      </c>
      <c r="D12" s="28">
        <f t="shared" si="0"/>
        <v>2156</v>
      </c>
      <c r="E12" s="28">
        <f t="shared" si="1"/>
        <v>121</v>
      </c>
      <c r="F12" s="31">
        <f>C12*B18+B19</f>
        <v>158.85314685314685</v>
      </c>
      <c r="G12" s="31">
        <f t="shared" si="2"/>
        <v>1.2338439866173623</v>
      </c>
    </row>
    <row r="13" spans="1:13" x14ac:dyDescent="0.35">
      <c r="A13" s="29" t="s">
        <v>82</v>
      </c>
      <c r="B13" s="29">
        <v>140</v>
      </c>
      <c r="C13" s="29">
        <v>12</v>
      </c>
      <c r="D13" s="29">
        <f t="shared" si="0"/>
        <v>1680</v>
      </c>
      <c r="E13" s="29">
        <f t="shared" si="1"/>
        <v>144</v>
      </c>
      <c r="F13" s="32">
        <f>C13*B18+B19</f>
        <v>163.65384615384616</v>
      </c>
      <c r="G13" s="32">
        <f t="shared" si="2"/>
        <v>0.85546415981198587</v>
      </c>
    </row>
    <row r="14" spans="1:13" x14ac:dyDescent="0.35">
      <c r="A14" s="18" t="s">
        <v>73</v>
      </c>
      <c r="B14" s="3">
        <f>SUM(B2:B13)</f>
        <v>1647</v>
      </c>
      <c r="C14" s="3">
        <f>SUM(C2:C13)</f>
        <v>78</v>
      </c>
      <c r="D14" s="3">
        <f>SUM(D2:D13)</f>
        <v>11392</v>
      </c>
      <c r="E14" s="3">
        <f>SUM(E2:E13)</f>
        <v>650</v>
      </c>
      <c r="G14" s="24" t="s">
        <v>86</v>
      </c>
    </row>
    <row r="15" spans="1:13" x14ac:dyDescent="0.35">
      <c r="A15" s="18" t="s">
        <v>68</v>
      </c>
      <c r="B15" s="23">
        <f>AVERAGE(B2:B13)</f>
        <v>137.25</v>
      </c>
    </row>
    <row r="16" spans="1:13" x14ac:dyDescent="0.35">
      <c r="A16" s="18" t="s">
        <v>67</v>
      </c>
      <c r="B16" s="3">
        <f>AVERAGE(C2:C13)</f>
        <v>6.5</v>
      </c>
      <c r="C16" s="4"/>
    </row>
    <row r="17" spans="1:3" x14ac:dyDescent="0.35">
      <c r="A17" s="18" t="s">
        <v>71</v>
      </c>
      <c r="B17" s="20">
        <f>COUNT(C2:C13)</f>
        <v>12</v>
      </c>
      <c r="C17" s="4"/>
    </row>
    <row r="18" spans="1:3" x14ac:dyDescent="0.35">
      <c r="A18" s="18" t="s">
        <v>72</v>
      </c>
      <c r="B18" s="14">
        <f>(D14-B17*B16*B15)/(E14-B17*B16*B16)</f>
        <v>4.8006993006993008</v>
      </c>
    </row>
    <row r="19" spans="1:3" x14ac:dyDescent="0.35">
      <c r="A19" s="18" t="s">
        <v>74</v>
      </c>
      <c r="B19" s="14">
        <f>B15-B18*B16</f>
        <v>106.04545454545455</v>
      </c>
    </row>
    <row r="20" spans="1:3" x14ac:dyDescent="0.35">
      <c r="A20" s="18" t="s">
        <v>66</v>
      </c>
      <c r="B20" s="3" t="s">
        <v>84</v>
      </c>
    </row>
  </sheetData>
  <mergeCells count="1">
    <mergeCell ref="I1:M1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TD1</vt:lpstr>
      <vt:lpstr>Cours 2</vt:lpstr>
      <vt:lpstr>TD2-LUX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Hyperion</dc:creator>
  <cp:lastModifiedBy>Hyperion</cp:lastModifiedBy>
  <dcterms:created xsi:type="dcterms:W3CDTF">2021-11-22T09:36:25Z</dcterms:created>
  <dcterms:modified xsi:type="dcterms:W3CDTF">2022-01-06T14:58:10Z</dcterms:modified>
</cp:coreProperties>
</file>