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15" windowWidth="15480" windowHeight="8325"/>
  </bookViews>
  <sheets>
    <sheet name="Mode d'emploi" sheetId="51471" r:id="rId1"/>
    <sheet name="hypothèses" sheetId="51465" r:id="rId2"/>
    <sheet name="Synthèse des résultats" sheetId="51466" r:id="rId3"/>
    <sheet name="Marges" sheetId="24" r:id="rId4"/>
    <sheet name="Résultat" sheetId="51472" r:id="rId5"/>
    <sheet name="Flux trésorerie" sheetId="51470" r:id="rId6"/>
  </sheets>
  <calcPr calcId="125725"/>
</workbook>
</file>

<file path=xl/calcChain.xml><?xml version="1.0" encoding="utf-8"?>
<calcChain xmlns="http://schemas.openxmlformats.org/spreadsheetml/2006/main">
  <c r="K19" i="51466"/>
  <c r="J19"/>
  <c r="K11" i="51470"/>
  <c r="J11"/>
  <c r="P43" i="51465"/>
  <c r="Q43"/>
  <c r="N8"/>
  <c r="I8"/>
  <c r="C61"/>
  <c r="C60"/>
  <c r="P9" i="51472"/>
  <c r="O9"/>
  <c r="N9"/>
  <c r="G7" i="51470"/>
  <c r="H15" i="51472"/>
  <c r="Q15" s="1"/>
  <c r="G20"/>
  <c r="I44" i="51465"/>
  <c r="G44"/>
  <c r="H14" i="51472" s="1"/>
  <c r="D7" i="24"/>
  <c r="G21" i="51470"/>
  <c r="J12" s="1"/>
  <c r="G16"/>
  <c r="G15"/>
  <c r="P20" i="51472"/>
  <c r="D15" i="24"/>
  <c r="J15" s="1"/>
  <c r="D14"/>
  <c r="G14" s="1"/>
  <c r="P16" i="51465"/>
  <c r="P15"/>
  <c r="P19"/>
  <c r="P18"/>
  <c r="K28" i="24"/>
  <c r="G11" i="51472" s="1"/>
  <c r="P11" s="1"/>
  <c r="H28" i="24"/>
  <c r="F11" i="51472" s="1"/>
  <c r="O11" s="1"/>
  <c r="E28" i="24"/>
  <c r="E11" i="51472" s="1"/>
  <c r="N11" s="1"/>
  <c r="K23" i="24"/>
  <c r="J23" s="1"/>
  <c r="H23"/>
  <c r="G23" s="1"/>
  <c r="E23"/>
  <c r="D23" s="1"/>
  <c r="E5"/>
  <c r="E17" s="1"/>
  <c r="H5"/>
  <c r="H17" s="1"/>
  <c r="K5"/>
  <c r="K17" s="1"/>
  <c r="C10"/>
  <c r="D10"/>
  <c r="J10" s="1"/>
  <c r="F10"/>
  <c r="I10"/>
  <c r="C11"/>
  <c r="D11"/>
  <c r="J11" s="1"/>
  <c r="F11"/>
  <c r="I11"/>
  <c r="C14"/>
  <c r="F14"/>
  <c r="I14"/>
  <c r="C15"/>
  <c r="F15"/>
  <c r="I15"/>
  <c r="G8" i="51470" l="1"/>
  <c r="J20" i="51466"/>
  <c r="J28" i="24"/>
  <c r="H31"/>
  <c r="G28"/>
  <c r="D28"/>
  <c r="G12" i="51470"/>
  <c r="G11"/>
  <c r="Q14" i="51472"/>
  <c r="H11"/>
  <c r="Q11" s="1"/>
  <c r="K11" i="24"/>
  <c r="E7"/>
  <c r="G15"/>
  <c r="H15" s="1"/>
  <c r="G10"/>
  <c r="H10" s="1"/>
  <c r="E15"/>
  <c r="H7"/>
  <c r="K15"/>
  <c r="L5"/>
  <c r="J14"/>
  <c r="K14" s="1"/>
  <c r="K10"/>
  <c r="H14"/>
  <c r="G11"/>
  <c r="H11" s="1"/>
  <c r="E10"/>
  <c r="E11"/>
  <c r="K7"/>
  <c r="K19" s="1"/>
  <c r="L28"/>
  <c r="E14"/>
  <c r="G17" i="51470"/>
  <c r="E19" i="24" l="1"/>
  <c r="H19"/>
  <c r="G13" i="51470"/>
  <c r="L7" i="24"/>
  <c r="L12"/>
  <c r="L18"/>
  <c r="E25" l="1"/>
  <c r="E10" i="51472" s="1"/>
  <c r="N10" s="1"/>
  <c r="D26" i="24"/>
  <c r="H21"/>
  <c r="C51" i="51466" s="1"/>
  <c r="G26" i="24"/>
  <c r="G30" s="1"/>
  <c r="O30" s="1"/>
  <c r="C21" i="51466" s="1"/>
  <c r="K21" i="24"/>
  <c r="J26"/>
  <c r="J30" s="1"/>
  <c r="P30" s="1"/>
  <c r="D21" i="51466" s="1"/>
  <c r="E21" i="24"/>
  <c r="K25"/>
  <c r="G10" i="51472" s="1"/>
  <c r="H25" i="24"/>
  <c r="E30" l="1"/>
  <c r="B53" i="51466" s="1"/>
  <c r="P5" i="24"/>
  <c r="D3" i="51466"/>
  <c r="D30" i="24"/>
  <c r="L26"/>
  <c r="Q5" s="1"/>
  <c r="E3" i="51466" s="1"/>
  <c r="B51"/>
  <c r="B3"/>
  <c r="N5" i="24"/>
  <c r="O5"/>
  <c r="C3" i="51466"/>
  <c r="D51"/>
  <c r="P10" i="51472"/>
  <c r="P12" s="1"/>
  <c r="E12"/>
  <c r="K30" i="24"/>
  <c r="D53" i="51466" s="1"/>
  <c r="N12" i="51472"/>
  <c r="H30" i="24"/>
  <c r="C53" i="51466" s="1"/>
  <c r="F10" i="51472"/>
  <c r="O10" s="1"/>
  <c r="L25" i="24"/>
  <c r="L31" l="1"/>
  <c r="Q30" s="1"/>
  <c r="E21" i="51466" s="1"/>
  <c r="N30" i="24"/>
  <c r="B21" i="51466" s="1"/>
  <c r="G12" i="51472"/>
  <c r="H10"/>
  <c r="F12"/>
  <c r="L30" i="24"/>
  <c r="H12" i="51472" s="1"/>
  <c r="H16" s="1"/>
  <c r="G6" i="51470" s="1"/>
  <c r="G9" s="1"/>
  <c r="G19" s="1"/>
  <c r="G22" s="1"/>
  <c r="K20" i="51466" l="1"/>
  <c r="K12" i="51470"/>
  <c r="O12" i="51472"/>
  <c r="Q10"/>
  <c r="Q12" s="1"/>
  <c r="Q16" s="1"/>
  <c r="O20" l="1"/>
  <c r="Q20" s="1"/>
  <c r="J4" i="51466" s="1"/>
  <c r="F20" i="51472"/>
  <c r="H20" s="1"/>
  <c r="I4" i="51466" s="1"/>
</calcChain>
</file>

<file path=xl/sharedStrings.xml><?xml version="1.0" encoding="utf-8"?>
<sst xmlns="http://schemas.openxmlformats.org/spreadsheetml/2006/main" count="229" uniqueCount="170">
  <si>
    <t>A</t>
  </si>
  <si>
    <t>B</t>
  </si>
  <si>
    <t>C</t>
  </si>
  <si>
    <t>Plastique</t>
  </si>
  <si>
    <t>Bois</t>
  </si>
  <si>
    <t>Moulage</t>
  </si>
  <si>
    <t>Finition</t>
  </si>
  <si>
    <t>Prix de vente HT</t>
  </si>
  <si>
    <t>Consommation de matières</t>
  </si>
  <si>
    <t>Consommation de temps</t>
  </si>
  <si>
    <t>M S C V unitaires</t>
  </si>
  <si>
    <t>Taux de marge sur C V</t>
  </si>
  <si>
    <t>Total</t>
  </si>
  <si>
    <t>Bateau A</t>
  </si>
  <si>
    <t>Bateau B</t>
  </si>
  <si>
    <t>Bateau C</t>
  </si>
  <si>
    <t>Publicité spécifique</t>
  </si>
  <si>
    <t>Marge de contribution</t>
  </si>
  <si>
    <t>M S C V par type de bateaux</t>
  </si>
  <si>
    <t>Représentants</t>
  </si>
  <si>
    <t>Marges</t>
  </si>
  <si>
    <t>Approvisionnement.</t>
  </si>
  <si>
    <t>Production.</t>
  </si>
  <si>
    <t>Commercialisation.</t>
  </si>
  <si>
    <t>Prix unitaires HT prévus</t>
  </si>
  <si>
    <t>Taux de commission représentants</t>
  </si>
  <si>
    <t>Marge contribution</t>
  </si>
  <si>
    <t>Taux de MSCV</t>
  </si>
  <si>
    <t>Différentes hypothèses pour les prévisions du trimestre à venir.</t>
  </si>
  <si>
    <t>Finance.</t>
  </si>
  <si>
    <t>Créances clients fin de trimestre</t>
  </si>
  <si>
    <t>Dettes fournisseurs fin de trimestre</t>
  </si>
  <si>
    <t>TVA déductible fin de trimestre</t>
  </si>
  <si>
    <t>TVA collectée fin de trimestre</t>
  </si>
  <si>
    <t>Acquisitions</t>
  </si>
  <si>
    <t xml:space="preserve">Moulage </t>
  </si>
  <si>
    <t>Cessions</t>
  </si>
  <si>
    <t>Emprunts</t>
  </si>
  <si>
    <t>Retraits placements</t>
  </si>
  <si>
    <t>Remboursements</t>
  </si>
  <si>
    <t>Placements</t>
  </si>
  <si>
    <t>Q</t>
  </si>
  <si>
    <t>CU</t>
  </si>
  <si>
    <t>Montants des stocks fin de trimestre</t>
  </si>
  <si>
    <t>Flux liés à l'activité.</t>
  </si>
  <si>
    <t>Résultat</t>
  </si>
  <si>
    <t>Dotations / amortissements</t>
  </si>
  <si>
    <t>Variation BFR</t>
  </si>
  <si>
    <t>Total I</t>
  </si>
  <si>
    <t>Flux liés aux investissements</t>
  </si>
  <si>
    <t>Flux liés au financements</t>
  </si>
  <si>
    <t>Encaissements</t>
  </si>
  <si>
    <t>Décaissements</t>
  </si>
  <si>
    <t>Total II</t>
  </si>
  <si>
    <t>Total III</t>
  </si>
  <si>
    <t>Flux nets de trésorerie du trimestre</t>
  </si>
  <si>
    <t>Solde de trésorerie début de trimestre</t>
  </si>
  <si>
    <t>Solde de trésorerie fin de trimestre</t>
  </si>
  <si>
    <r>
      <t>Consommation bois par bateau (en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</si>
  <si>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Consommation plastique par bateau (t)</t>
  </si>
  <si>
    <t>Consommation moulage (en HTM)</t>
  </si>
  <si>
    <t>Consommation finition (en HTM)</t>
  </si>
  <si>
    <t>Publicités spécifiques et marque prévues</t>
  </si>
  <si>
    <t>Ne rien saisir</t>
  </si>
  <si>
    <t>Total invest</t>
  </si>
  <si>
    <t>Cu HTM</t>
  </si>
  <si>
    <t>Trim écoulé</t>
  </si>
  <si>
    <t>Total cess</t>
  </si>
  <si>
    <t>Flux</t>
  </si>
  <si>
    <r>
      <t xml:space="preserve">Objectifs </t>
    </r>
    <r>
      <rPr>
        <b/>
        <sz val="10"/>
        <rFont val="Arial"/>
        <family val="2"/>
      </rPr>
      <t>mensuels</t>
    </r>
    <r>
      <rPr>
        <sz val="10"/>
        <rFont val="Arial"/>
        <family val="2"/>
      </rPr>
      <t xml:space="preserve"> de ventes</t>
    </r>
  </si>
  <si>
    <t>Trésorerie</t>
  </si>
  <si>
    <t>Solde du compte en banque au début trimestre</t>
  </si>
  <si>
    <t>Saisie des données</t>
  </si>
  <si>
    <t>Les instructions pour  les champs à saisir sont de couleur rouge.</t>
  </si>
  <si>
    <t>Nature des données</t>
  </si>
  <si>
    <t>Les décisions sont sur fond vert.</t>
  </si>
  <si>
    <t>Les résultats à reporter sont sur fond jaune.</t>
  </si>
  <si>
    <t>Les paramètres sont sur fond bleu.</t>
  </si>
  <si>
    <t>Limites du dossier</t>
  </si>
  <si>
    <t xml:space="preserve">Il n'intègre pas les stratégies de commercialisation par négociation directe dans les onglets "Marges" et "Résultats", seule est envisagée </t>
  </si>
  <si>
    <t>la vente sur le marché concurrentiel.</t>
  </si>
  <si>
    <t xml:space="preserve">Les prévisions sont effectuées pour les 3 mois à venir. Toutefois les décisions d'achats de matières aux fournisseurs, les objectifs de  </t>
  </si>
  <si>
    <t>Prévisions mensuelles pour le trimestre</t>
  </si>
  <si>
    <t>Les achats ou ventes aux concurrents, les acquisitions de machines sont effectués au début du trimestre.</t>
  </si>
  <si>
    <t xml:space="preserve">Les objectifs de ventes qui dépendent des clients autant que de </t>
  </si>
  <si>
    <t>Coefficients saisonniers du trimestre</t>
  </si>
  <si>
    <t>Marge sur coûts variables</t>
  </si>
  <si>
    <t>Achats fournitures</t>
  </si>
  <si>
    <t>Assurances (y compris emprunts)</t>
  </si>
  <si>
    <t>Etudes et documents comptables</t>
  </si>
  <si>
    <t>Impôts et taxes</t>
  </si>
  <si>
    <t>Salaires bruts</t>
  </si>
  <si>
    <t>Charges sociales</t>
  </si>
  <si>
    <t>Dotations aux amortissements</t>
  </si>
  <si>
    <t>Maintenance machines</t>
  </si>
  <si>
    <t>Déplacements, missions, réceptions</t>
  </si>
  <si>
    <t>Frais postaux et télécommunications</t>
  </si>
  <si>
    <t>Frais bancaires</t>
  </si>
  <si>
    <t>Résultat trimestriel</t>
  </si>
  <si>
    <t>Objectif trimestriel de ventes</t>
  </si>
  <si>
    <t>Coûts fixes spécifiques trimestriels</t>
  </si>
  <si>
    <t>Prévision des marges sur coûts variables et marges de contribution trimestrielles.</t>
  </si>
  <si>
    <t>Charges externes fixes</t>
  </si>
  <si>
    <t>Résultat du trimestre corrigé des variations saisonnières</t>
  </si>
  <si>
    <t>Charges financières nettes des produits financiers</t>
  </si>
  <si>
    <t>production, les prévisions de ventes dans l'onglet "hypothèses" sont mensuelles, identiques pour les 3 mois du trimestre.</t>
  </si>
  <si>
    <t>BFR</t>
  </si>
  <si>
    <t>notre volonté sont sur fond rouge</t>
  </si>
  <si>
    <t>Taux de profitabilité (corrigé des variations saisonnières)</t>
  </si>
  <si>
    <t>Rapport du résultat sur le chiffre d'affaires</t>
  </si>
  <si>
    <t>Ch. d'affaires</t>
  </si>
  <si>
    <t>Taux</t>
  </si>
  <si>
    <t>Taux de rentabilité des capitaux propres sur une année</t>
  </si>
  <si>
    <t>Cap.propres</t>
  </si>
  <si>
    <t>Montant</t>
  </si>
  <si>
    <t>Capitaux propres</t>
  </si>
  <si>
    <t>Coûts unitaires HT (par tonne et par m3)</t>
  </si>
  <si>
    <t>ACTIVITE</t>
  </si>
  <si>
    <t>Modifier éventuellement les consommations G15 àI18</t>
  </si>
  <si>
    <t>Saisir les décisions  commerciales G21 à J24</t>
  </si>
  <si>
    <t>Saisir les coefficients saisonniers du trimestre à venir G26 à I26</t>
  </si>
  <si>
    <t>Trimestre</t>
  </si>
  <si>
    <t>à venir</t>
  </si>
  <si>
    <t>écoulé</t>
  </si>
  <si>
    <t>Charges fixes récurrentes mensuelles</t>
  </si>
  <si>
    <t>Saisir les coûts HT  des matières consommées G12 et H12</t>
  </si>
  <si>
    <t>Saisir les charges récurrentes du trimestre écoulé et du trimestre à venir</t>
  </si>
  <si>
    <t>FINANCEMENT</t>
  </si>
  <si>
    <t>INVESTISSEMENT</t>
  </si>
  <si>
    <t>Renseigner les champs relatifs aux financement</t>
  </si>
  <si>
    <t>Publicité de marque trimestrielle</t>
  </si>
  <si>
    <t>B F R</t>
  </si>
  <si>
    <r>
      <t xml:space="preserve">Des données sont à saisir dans la feuille </t>
    </r>
    <r>
      <rPr>
        <b/>
        <sz val="16"/>
        <color indexed="10"/>
        <rFont val="Arial"/>
        <family val="2"/>
      </rPr>
      <t>"hypothèses"</t>
    </r>
    <r>
      <rPr>
        <sz val="16"/>
        <rFont val="Arial"/>
        <family val="2"/>
      </rPr>
      <t xml:space="preserve"> les autres feuilles sont protégées</t>
    </r>
  </si>
  <si>
    <t>mensuel</t>
  </si>
  <si>
    <t>Renseigner les champs relatifs aux investissements</t>
  </si>
  <si>
    <t>Les champs qui ne nécessitent pas de saisie sont protégés</t>
  </si>
  <si>
    <t>Commun</t>
  </si>
  <si>
    <t>Dossier prévisionnel pour aider à la prise de décisions : résultat et trésorerie</t>
  </si>
  <si>
    <t>La publicité de marque a déjà été saisie ci-dessus.</t>
  </si>
  <si>
    <t xml:space="preserve">Charges fixes hors publicité </t>
  </si>
  <si>
    <t>Rappel des coefficients saisonniers</t>
  </si>
  <si>
    <t>Numéro du dernier trimestre écoulé à saisir</t>
  </si>
  <si>
    <t>soit</t>
  </si>
  <si>
    <t>trimestre 1</t>
  </si>
  <si>
    <t>trimestre 2</t>
  </si>
  <si>
    <t>trimestre 3</t>
  </si>
  <si>
    <t>trimestre 4</t>
  </si>
  <si>
    <t xml:space="preserve">   les prévisions concernent le </t>
  </si>
  <si>
    <t>Impôts sur les bénéfices</t>
  </si>
  <si>
    <t>Trim en cours</t>
  </si>
  <si>
    <t>Prévision des flux de trésorerie du trimestre en cours.</t>
  </si>
  <si>
    <t>Le trimestre en cours est celui pour lequel les décisions sont en préparation</t>
  </si>
  <si>
    <t>global</t>
  </si>
  <si>
    <t>taux</t>
  </si>
  <si>
    <t>Corrigé</t>
  </si>
  <si>
    <t>Attendu</t>
  </si>
  <si>
    <t>Marge de contribution corrigée</t>
  </si>
  <si>
    <t>Ch. D'affaires corrigé</t>
  </si>
  <si>
    <t>Globale</t>
  </si>
  <si>
    <t>Global</t>
  </si>
  <si>
    <t>Taux de profitabilité</t>
  </si>
  <si>
    <t>Taux de rentabilité</t>
  </si>
  <si>
    <t>(celui pour lequel les décisions sont en préparation)</t>
  </si>
  <si>
    <t>Résultat prévisionnel du trimestre en cours</t>
  </si>
  <si>
    <t>Résultat trimestriel corrigé</t>
  </si>
  <si>
    <t>Nombre de machines au début du trimestre</t>
  </si>
  <si>
    <t>Pech4</t>
  </si>
  <si>
    <t>Prom5.5</t>
  </si>
  <si>
    <t>Stan8</t>
  </si>
  <si>
    <t>Charges externes variables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</si>
</sst>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#,##0.00_ ;[Red]\-#,##0.00\ "/>
  </numFmts>
  <fonts count="32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BAB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5" fillId="0" borderId="0" xfId="0" applyFont="1"/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164" fontId="5" fillId="0" borderId="0" xfId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0" fillId="0" borderId="0" xfId="0" applyFont="1" applyProtection="1"/>
    <xf numFmtId="0" fontId="10" fillId="0" borderId="0" xfId="0" applyFont="1"/>
    <xf numFmtId="164" fontId="5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10" fontId="3" fillId="0" borderId="0" xfId="0" applyNumberFormat="1" applyFont="1" applyProtection="1"/>
    <xf numFmtId="164" fontId="5" fillId="0" borderId="0" xfId="1" applyFont="1" applyProtection="1"/>
    <xf numFmtId="0" fontId="12" fillId="0" borderId="0" xfId="0" applyFont="1" applyProtection="1"/>
    <xf numFmtId="0" fontId="0" fillId="0" borderId="7" xfId="0" applyBorder="1" applyProtection="1"/>
    <xf numFmtId="0" fontId="0" fillId="0" borderId="0" xfId="0" applyBorder="1" applyProtection="1"/>
    <xf numFmtId="0" fontId="0" fillId="2" borderId="11" xfId="0" applyFill="1" applyBorder="1" applyProtection="1"/>
    <xf numFmtId="0" fontId="4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0" fillId="0" borderId="26" xfId="0" applyBorder="1" applyProtection="1"/>
    <xf numFmtId="0" fontId="10" fillId="0" borderId="46" xfId="0" applyFont="1" applyBorder="1" applyProtection="1"/>
    <xf numFmtId="0" fontId="0" fillId="0" borderId="46" xfId="0" applyBorder="1" applyProtection="1"/>
    <xf numFmtId="0" fontId="10" fillId="0" borderId="28" xfId="0" applyFon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10" fillId="0" borderId="10" xfId="0" applyFont="1" applyBorder="1" applyProtection="1"/>
    <xf numFmtId="4" fontId="0" fillId="0" borderId="18" xfId="0" applyNumberFormat="1" applyBorder="1" applyProtection="1"/>
    <xf numFmtId="4" fontId="0" fillId="0" borderId="48" xfId="0" applyNumberFormat="1" applyBorder="1" applyProtection="1"/>
    <xf numFmtId="4" fontId="0" fillId="0" borderId="0" xfId="0" applyNumberFormat="1" applyFill="1" applyBorder="1" applyProtection="1"/>
    <xf numFmtId="4" fontId="0" fillId="0" borderId="11" xfId="0" applyNumberFormat="1" applyBorder="1" applyProtection="1"/>
    <xf numFmtId="0" fontId="11" fillId="0" borderId="0" xfId="0" applyFont="1"/>
    <xf numFmtId="4" fontId="11" fillId="0" borderId="0" xfId="0" applyNumberFormat="1" applyFont="1"/>
    <xf numFmtId="0" fontId="11" fillId="0" borderId="17" xfId="0" applyFont="1" applyBorder="1"/>
    <xf numFmtId="0" fontId="11" fillId="0" borderId="47" xfId="0" applyFont="1" applyBorder="1"/>
    <xf numFmtId="4" fontId="11" fillId="0" borderId="9" xfId="0" applyNumberFormat="1" applyFont="1" applyBorder="1"/>
    <xf numFmtId="0" fontId="11" fillId="0" borderId="25" xfId="0" applyFont="1" applyBorder="1"/>
    <xf numFmtId="0" fontId="11" fillId="0" borderId="7" xfId="0" applyFont="1" applyBorder="1"/>
    <xf numFmtId="0" fontId="4" fillId="0" borderId="0" xfId="0" applyFont="1" applyBorder="1"/>
    <xf numFmtId="0" fontId="11" fillId="0" borderId="0" xfId="0" applyFont="1" applyBorder="1"/>
    <xf numFmtId="4" fontId="11" fillId="0" borderId="11" xfId="0" applyNumberFormat="1" applyFont="1" applyBorder="1"/>
    <xf numFmtId="0" fontId="11" fillId="0" borderId="44" xfId="0" applyFont="1" applyBorder="1"/>
    <xf numFmtId="4" fontId="11" fillId="3" borderId="11" xfId="0" applyNumberFormat="1" applyFont="1" applyFill="1" applyBorder="1"/>
    <xf numFmtId="4" fontId="11" fillId="0" borderId="49" xfId="0" applyNumberFormat="1" applyFont="1" applyBorder="1"/>
    <xf numFmtId="4" fontId="4" fillId="0" borderId="49" xfId="0" applyNumberFormat="1" applyFont="1" applyBorder="1"/>
    <xf numFmtId="0" fontId="11" fillId="0" borderId="19" xfId="0" applyFont="1" applyBorder="1"/>
    <xf numFmtId="0" fontId="11" fillId="0" borderId="45" xfId="0" applyFont="1" applyBorder="1"/>
    <xf numFmtId="4" fontId="11" fillId="0" borderId="15" xfId="0" applyNumberFormat="1" applyFont="1" applyBorder="1"/>
    <xf numFmtId="0" fontId="11" fillId="0" borderId="41" xfId="0" applyFont="1" applyBorder="1"/>
    <xf numFmtId="0" fontId="6" fillId="0" borderId="0" xfId="0" applyFont="1" applyAlignment="1" applyProtection="1">
      <alignment horizontal="center"/>
    </xf>
    <xf numFmtId="4" fontId="0" fillId="0" borderId="0" xfId="0" applyNumberFormat="1" applyBorder="1" applyProtection="1"/>
    <xf numFmtId="4" fontId="0" fillId="3" borderId="11" xfId="0" applyNumberFormat="1" applyFill="1" applyBorder="1" applyProtection="1">
      <protection locked="0"/>
    </xf>
    <xf numFmtId="4" fontId="0" fillId="3" borderId="12" xfId="0" applyNumberFormat="1" applyFill="1" applyBorder="1" applyProtection="1"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4" fontId="0" fillId="2" borderId="11" xfId="0" applyNumberFormat="1" applyFill="1" applyBorder="1" applyAlignment="1" applyProtection="1">
      <alignment horizontal="center"/>
    </xf>
    <xf numFmtId="4" fontId="0" fillId="3" borderId="11" xfId="0" applyNumberFormat="1" applyFill="1" applyBorder="1" applyAlignment="1" applyProtection="1">
      <alignment horizontal="center"/>
      <protection locked="0"/>
    </xf>
    <xf numFmtId="4" fontId="0" fillId="2" borderId="12" xfId="0" applyNumberFormat="1" applyFill="1" applyBorder="1" applyAlignment="1" applyProtection="1">
      <alignment horizontal="center"/>
    </xf>
    <xf numFmtId="0" fontId="14" fillId="0" borderId="0" xfId="0" applyFont="1"/>
    <xf numFmtId="4" fontId="0" fillId="4" borderId="12" xfId="0" applyNumberFormat="1" applyFill="1" applyBorder="1" applyAlignment="1" applyProtection="1">
      <alignment horizontal="center"/>
      <protection locked="0"/>
    </xf>
    <xf numFmtId="0" fontId="7" fillId="0" borderId="28" xfId="0" applyFont="1" applyBorder="1" applyProtection="1"/>
    <xf numFmtId="0" fontId="10" fillId="0" borderId="30" xfId="0" applyFont="1" applyBorder="1" applyProtection="1"/>
    <xf numFmtId="4" fontId="10" fillId="0" borderId="31" xfId="0" applyNumberFormat="1" applyFont="1" applyBorder="1" applyAlignment="1" applyProtection="1">
      <alignment horizontal="center"/>
    </xf>
    <xf numFmtId="4" fontId="10" fillId="0" borderId="31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Protection="1"/>
    <xf numFmtId="4" fontId="0" fillId="0" borderId="32" xfId="0" applyNumberFormat="1" applyBorder="1" applyAlignment="1" applyProtection="1">
      <alignment horizontal="center"/>
    </xf>
    <xf numFmtId="4" fontId="11" fillId="3" borderId="11" xfId="0" applyNumberFormat="1" applyFont="1" applyFill="1" applyBorder="1" applyProtection="1"/>
    <xf numFmtId="4" fontId="10" fillId="6" borderId="11" xfId="0" applyNumberFormat="1" applyFont="1" applyFill="1" applyBorder="1" applyProtection="1">
      <protection locked="0"/>
    </xf>
    <xf numFmtId="4" fontId="10" fillId="6" borderId="1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0" fontId="18" fillId="0" borderId="0" xfId="0" applyFont="1"/>
    <xf numFmtId="0" fontId="19" fillId="0" borderId="0" xfId="0" applyFont="1"/>
    <xf numFmtId="165" fontId="19" fillId="9" borderId="52" xfId="1" applyNumberFormat="1" applyFont="1" applyFill="1" applyBorder="1" applyProtection="1"/>
    <xf numFmtId="165" fontId="19" fillId="0" borderId="0" xfId="1" applyNumberFormat="1" applyFont="1" applyFill="1" applyBorder="1" applyProtection="1"/>
    <xf numFmtId="0" fontId="19" fillId="3" borderId="52" xfId="0" applyFont="1" applyFill="1" applyBorder="1" applyProtection="1"/>
    <xf numFmtId="3" fontId="18" fillId="10" borderId="52" xfId="0" applyNumberFormat="1" applyFont="1" applyFill="1" applyBorder="1" applyAlignment="1" applyProtection="1">
      <alignment horizontal="center"/>
      <protection locked="0"/>
    </xf>
    <xf numFmtId="0" fontId="10" fillId="7" borderId="11" xfId="0" applyFont="1" applyFill="1" applyBorder="1" applyAlignment="1" applyProtection="1">
      <alignment horizontal="center"/>
      <protection locked="0"/>
    </xf>
    <xf numFmtId="0" fontId="19" fillId="7" borderId="52" xfId="0" applyFont="1" applyFill="1" applyBorder="1"/>
    <xf numFmtId="4" fontId="0" fillId="2" borderId="35" xfId="0" applyNumberFormat="1" applyFill="1" applyBorder="1" applyAlignment="1" applyProtection="1">
      <alignment horizontal="center"/>
    </xf>
    <xf numFmtId="4" fontId="0" fillId="2" borderId="36" xfId="0" applyNumberFormat="1" applyFill="1" applyBorder="1" applyAlignment="1" applyProtection="1">
      <alignment horizontal="center"/>
    </xf>
    <xf numFmtId="4" fontId="0" fillId="2" borderId="15" xfId="0" applyNumberFormat="1" applyFill="1" applyBorder="1" applyAlignment="1" applyProtection="1">
      <alignment horizontal="center"/>
    </xf>
    <xf numFmtId="4" fontId="0" fillId="2" borderId="16" xfId="0" applyNumberFormat="1" applyFill="1" applyBorder="1" applyAlignment="1" applyProtection="1">
      <alignment horizontal="center"/>
    </xf>
    <xf numFmtId="0" fontId="0" fillId="0" borderId="0" xfId="0" applyAlignment="1"/>
    <xf numFmtId="0" fontId="15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0" fillId="0" borderId="0" xfId="0" applyBorder="1" applyAlignment="1"/>
    <xf numFmtId="0" fontId="23" fillId="0" borderId="0" xfId="0" applyFont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/>
    <xf numFmtId="0" fontId="15" fillId="0" borderId="0" xfId="0" applyFont="1" applyBorder="1" applyAlignment="1"/>
    <xf numFmtId="0" fontId="1" fillId="0" borderId="0" xfId="0" applyFont="1"/>
    <xf numFmtId="0" fontId="0" fillId="0" borderId="7" xfId="0" applyBorder="1"/>
    <xf numFmtId="0" fontId="0" fillId="0" borderId="0" xfId="0" applyBorder="1"/>
    <xf numFmtId="0" fontId="1" fillId="0" borderId="7" xfId="0" applyFont="1" applyBorder="1"/>
    <xf numFmtId="4" fontId="0" fillId="6" borderId="11" xfId="0" applyNumberFormat="1" applyFill="1" applyBorder="1" applyAlignment="1" applyProtection="1">
      <alignment horizontal="center"/>
      <protection locked="0"/>
    </xf>
    <xf numFmtId="0" fontId="10" fillId="0" borderId="27" xfId="0" applyFont="1" applyBorder="1" applyProtection="1"/>
    <xf numFmtId="4" fontId="10" fillId="0" borderId="28" xfId="0" applyNumberFormat="1" applyFont="1" applyBorder="1" applyAlignment="1" applyProtection="1">
      <alignment horizontal="center"/>
    </xf>
    <xf numFmtId="4" fontId="10" fillId="0" borderId="28" xfId="0" applyNumberFormat="1" applyFont="1" applyFill="1" applyBorder="1" applyAlignment="1" applyProtection="1">
      <alignment horizontal="center"/>
    </xf>
    <xf numFmtId="4" fontId="0" fillId="0" borderId="29" xfId="0" applyNumberFormat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4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4" fontId="0" fillId="0" borderId="0" xfId="0" applyNumberFormat="1" applyFill="1" applyBorder="1" applyProtection="1">
      <protection locked="0"/>
    </xf>
    <xf numFmtId="0" fontId="0" fillId="0" borderId="0" xfId="0" applyFill="1" applyBorder="1"/>
    <xf numFmtId="4" fontId="0" fillId="0" borderId="28" xfId="0" applyNumberFormat="1" applyBorder="1" applyProtection="1"/>
    <xf numFmtId="4" fontId="10" fillId="0" borderId="29" xfId="0" applyNumberFormat="1" applyFont="1" applyFill="1" applyBorder="1" applyAlignment="1" applyProtection="1">
      <alignment horizontal="center"/>
    </xf>
    <xf numFmtId="0" fontId="10" fillId="0" borderId="14" xfId="0" applyFont="1" applyBorder="1" applyProtection="1"/>
    <xf numFmtId="4" fontId="0" fillId="0" borderId="15" xfId="0" applyNumberFormat="1" applyBorder="1" applyProtection="1"/>
    <xf numFmtId="4" fontId="0" fillId="3" borderId="15" xfId="0" applyNumberFormat="1" applyFill="1" applyBorder="1" applyAlignment="1" applyProtection="1">
      <alignment horizontal="center"/>
      <protection locked="0"/>
    </xf>
    <xf numFmtId="4" fontId="10" fillId="0" borderId="0" xfId="0" applyNumberFormat="1" applyFont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10" fontId="10" fillId="6" borderId="18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7" xfId="0" applyFill="1" applyBorder="1" applyProtection="1"/>
    <xf numFmtId="4" fontId="0" fillId="6" borderId="15" xfId="0" applyNumberFormat="1" applyFill="1" applyBorder="1" applyAlignment="1" applyProtection="1">
      <alignment horizontal="center"/>
      <protection locked="0"/>
    </xf>
    <xf numFmtId="4" fontId="0" fillId="0" borderId="57" xfId="0" applyNumberFormat="1" applyFill="1" applyBorder="1" applyProtection="1"/>
    <xf numFmtId="4" fontId="0" fillId="0" borderId="46" xfId="0" applyNumberFormat="1" applyFill="1" applyBorder="1" applyAlignment="1" applyProtection="1">
      <alignment horizontal="center"/>
    </xf>
    <xf numFmtId="4" fontId="0" fillId="0" borderId="58" xfId="0" applyNumberFormat="1" applyFill="1" applyBorder="1" applyAlignment="1" applyProtection="1">
      <alignment horizontal="center"/>
    </xf>
    <xf numFmtId="4" fontId="0" fillId="0" borderId="57" xfId="0" applyNumberFormat="1" applyBorder="1" applyProtection="1"/>
    <xf numFmtId="4" fontId="0" fillId="0" borderId="46" xfId="0" applyNumberFormat="1" applyBorder="1" applyProtection="1"/>
    <xf numFmtId="4" fontId="0" fillId="0" borderId="58" xfId="0" applyNumberFormat="1" applyBorder="1" applyProtection="1"/>
    <xf numFmtId="4" fontId="10" fillId="0" borderId="29" xfId="0" applyNumberFormat="1" applyFont="1" applyBorder="1" applyAlignment="1" applyProtection="1">
      <alignment horizontal="center"/>
    </xf>
    <xf numFmtId="0" fontId="10" fillId="0" borderId="22" xfId="0" applyFont="1" applyBorder="1" applyProtection="1"/>
    <xf numFmtId="4" fontId="0" fillId="0" borderId="23" xfId="0" applyNumberFormat="1" applyFill="1" applyBorder="1" applyProtection="1"/>
    <xf numFmtId="0" fontId="0" fillId="0" borderId="23" xfId="0" applyBorder="1" applyProtection="1"/>
    <xf numFmtId="0" fontId="7" fillId="0" borderId="29" xfId="0" applyFont="1" applyBorder="1" applyProtection="1"/>
    <xf numFmtId="0" fontId="0" fillId="2" borderId="12" xfId="0" applyFill="1" applyBorder="1" applyProtection="1"/>
    <xf numFmtId="0" fontId="9" fillId="0" borderId="0" xfId="0" applyFont="1" applyBorder="1" applyProtection="1"/>
    <xf numFmtId="4" fontId="0" fillId="3" borderId="24" xfId="0" applyNumberFormat="1" applyFill="1" applyBorder="1" applyProtection="1">
      <protection locked="0"/>
    </xf>
    <xf numFmtId="0" fontId="23" fillId="0" borderId="0" xfId="0" applyFont="1" applyProtection="1"/>
    <xf numFmtId="0" fontId="1" fillId="0" borderId="34" xfId="0" applyFont="1" applyBorder="1" applyProtection="1"/>
    <xf numFmtId="4" fontId="0" fillId="6" borderId="35" xfId="0" applyNumberFormat="1" applyFill="1" applyBorder="1" applyAlignment="1" applyProtection="1">
      <alignment horizontal="center"/>
      <protection locked="0"/>
    </xf>
    <xf numFmtId="0" fontId="11" fillId="13" borderId="0" xfId="0" applyFont="1" applyFill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Border="1" applyProtection="1"/>
    <xf numFmtId="0" fontId="0" fillId="0" borderId="0" xfId="0" applyFill="1" applyProtection="1"/>
    <xf numFmtId="0" fontId="10" fillId="0" borderId="0" xfId="0" applyFont="1" applyFill="1" applyAlignment="1" applyProtection="1">
      <alignment horizontal="center"/>
      <protection locked="0"/>
    </xf>
    <xf numFmtId="4" fontId="0" fillId="3" borderId="48" xfId="0" applyNumberFormat="1" applyFill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</xf>
    <xf numFmtId="0" fontId="0" fillId="0" borderId="42" xfId="0" applyBorder="1" applyProtection="1"/>
    <xf numFmtId="0" fontId="10" fillId="0" borderId="59" xfId="0" applyFont="1" applyBorder="1" applyProtection="1"/>
    <xf numFmtId="0" fontId="0" fillId="0" borderId="59" xfId="0" applyBorder="1" applyProtection="1"/>
    <xf numFmtId="0" fontId="10" fillId="0" borderId="43" xfId="0" applyFont="1" applyBorder="1" applyAlignment="1" applyProtection="1">
      <alignment horizontal="center"/>
    </xf>
    <xf numFmtId="0" fontId="0" fillId="0" borderId="60" xfId="0" applyFill="1" applyBorder="1" applyProtection="1"/>
    <xf numFmtId="0" fontId="0" fillId="0" borderId="61" xfId="0" applyBorder="1" applyProtection="1"/>
    <xf numFmtId="0" fontId="0" fillId="0" borderId="62" xfId="0" applyFill="1" applyBorder="1" applyProtection="1"/>
    <xf numFmtId="0" fontId="1" fillId="0" borderId="62" xfId="0" applyFont="1" applyFill="1" applyBorder="1" applyProtection="1"/>
    <xf numFmtId="4" fontId="10" fillId="0" borderId="63" xfId="0" applyNumberFormat="1" applyFont="1" applyFill="1" applyBorder="1" applyProtection="1">
      <protection locked="0"/>
    </xf>
    <xf numFmtId="0" fontId="0" fillId="0" borderId="63" xfId="0" applyFill="1" applyBorder="1" applyProtection="1"/>
    <xf numFmtId="0" fontId="0" fillId="0" borderId="64" xfId="0" applyFill="1" applyBorder="1" applyProtection="1"/>
    <xf numFmtId="0" fontId="10" fillId="0" borderId="60" xfId="0" applyFont="1" applyBorder="1" applyAlignment="1" applyProtection="1">
      <alignment horizontal="center"/>
    </xf>
    <xf numFmtId="0" fontId="0" fillId="0" borderId="61" xfId="0" applyFill="1" applyBorder="1" applyProtection="1"/>
    <xf numFmtId="0" fontId="10" fillId="0" borderId="63" xfId="0" applyFont="1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</xf>
    <xf numFmtId="4" fontId="10" fillId="6" borderId="18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12" xfId="0" applyBorder="1" applyProtection="1"/>
    <xf numFmtId="0" fontId="0" fillId="0" borderId="61" xfId="0" applyFill="1" applyBorder="1"/>
    <xf numFmtId="0" fontId="9" fillId="0" borderId="62" xfId="0" applyFont="1" applyFill="1" applyBorder="1" applyProtection="1"/>
    <xf numFmtId="0" fontId="0" fillId="0" borderId="62" xfId="0" applyFill="1" applyBorder="1"/>
    <xf numFmtId="4" fontId="0" fillId="0" borderId="62" xfId="0" applyNumberFormat="1" applyFill="1" applyBorder="1" applyAlignment="1" applyProtection="1">
      <alignment horizontal="center"/>
      <protection locked="0"/>
    </xf>
    <xf numFmtId="0" fontId="0" fillId="0" borderId="65" xfId="0" applyFill="1" applyBorder="1" applyProtection="1"/>
    <xf numFmtId="0" fontId="0" fillId="0" borderId="66" xfId="0" applyBorder="1"/>
    <xf numFmtId="0" fontId="10" fillId="0" borderId="67" xfId="0" applyFont="1" applyBorder="1"/>
    <xf numFmtId="0" fontId="0" fillId="0" borderId="67" xfId="0" applyBorder="1" applyProtection="1"/>
    <xf numFmtId="0" fontId="0" fillId="0" borderId="67" xfId="0" applyBorder="1"/>
    <xf numFmtId="0" fontId="0" fillId="0" borderId="68" xfId="0" applyBorder="1"/>
    <xf numFmtId="0" fontId="0" fillId="0" borderId="44" xfId="0" applyBorder="1" applyProtection="1"/>
    <xf numFmtId="0" fontId="21" fillId="0" borderId="18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0" fillId="0" borderId="48" xfId="0" applyBorder="1"/>
    <xf numFmtId="0" fontId="1" fillId="0" borderId="33" xfId="0" applyFont="1" applyBorder="1" applyAlignment="1">
      <alignment horizontal="left"/>
    </xf>
    <xf numFmtId="0" fontId="21" fillId="0" borderId="7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45" xfId="0" applyBorder="1"/>
    <xf numFmtId="0" fontId="0" fillId="0" borderId="19" xfId="0" applyBorder="1"/>
    <xf numFmtId="4" fontId="10" fillId="6" borderId="31" xfId="0" applyNumberFormat="1" applyFont="1" applyFill="1" applyBorder="1" applyProtection="1">
      <protection locked="0"/>
    </xf>
    <xf numFmtId="0" fontId="10" fillId="4" borderId="31" xfId="0" applyFont="1" applyFill="1" applyBorder="1" applyAlignment="1" applyProtection="1">
      <alignment horizontal="center"/>
      <protection locked="0"/>
    </xf>
    <xf numFmtId="4" fontId="0" fillId="3" borderId="31" xfId="0" applyNumberFormat="1" applyFill="1" applyBorder="1" applyAlignment="1" applyProtection="1">
      <alignment horizontal="center"/>
      <protection locked="0"/>
    </xf>
    <xf numFmtId="4" fontId="0" fillId="3" borderId="51" xfId="0" applyNumberFormat="1" applyFill="1" applyBorder="1" applyAlignment="1" applyProtection="1">
      <alignment horizontal="center"/>
      <protection locked="0"/>
    </xf>
    <xf numFmtId="4" fontId="0" fillId="11" borderId="3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47" xfId="0" applyFont="1" applyBorder="1" applyAlignment="1"/>
    <xf numFmtId="0" fontId="2" fillId="0" borderId="25" xfId="0" applyFont="1" applyBorder="1" applyAlignment="1"/>
    <xf numFmtId="0" fontId="2" fillId="0" borderId="47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0" xfId="0" applyFont="1" applyBorder="1"/>
    <xf numFmtId="0" fontId="2" fillId="0" borderId="44" xfId="0" applyFont="1" applyBorder="1"/>
    <xf numFmtId="4" fontId="2" fillId="6" borderId="10" xfId="0" applyNumberFormat="1" applyFont="1" applyFill="1" applyBorder="1"/>
    <xf numFmtId="4" fontId="2" fillId="6" borderId="11" xfId="0" applyNumberFormat="1" applyFont="1" applyFill="1" applyBorder="1"/>
    <xf numFmtId="4" fontId="2" fillId="6" borderId="12" xfId="0" applyNumberFormat="1" applyFont="1" applyFill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0" xfId="0" applyNumberFormat="1" applyFo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12" borderId="10" xfId="0" applyFont="1" applyFill="1" applyBorder="1"/>
    <xf numFmtId="4" fontId="2" fillId="12" borderId="11" xfId="0" applyNumberFormat="1" applyFont="1" applyFill="1" applyBorder="1"/>
    <xf numFmtId="0" fontId="2" fillId="12" borderId="11" xfId="0" applyFont="1" applyFill="1" applyBorder="1"/>
    <xf numFmtId="4" fontId="2" fillId="5" borderId="12" xfId="0" applyNumberFormat="1" applyFont="1" applyFill="1" applyBorder="1"/>
    <xf numFmtId="0" fontId="2" fillId="0" borderId="45" xfId="0" applyFont="1" applyBorder="1"/>
    <xf numFmtId="0" fontId="2" fillId="0" borderId="41" xfId="0" applyFont="1" applyBorder="1"/>
    <xf numFmtId="0" fontId="2" fillId="12" borderId="14" xfId="0" applyFont="1" applyFill="1" applyBorder="1"/>
    <xf numFmtId="4" fontId="8" fillId="12" borderId="15" xfId="0" applyNumberFormat="1" applyFont="1" applyFill="1" applyBorder="1"/>
    <xf numFmtId="0" fontId="2" fillId="12" borderId="15" xfId="0" applyFont="1" applyFill="1" applyBorder="1"/>
    <xf numFmtId="4" fontId="8" fillId="5" borderId="53" xfId="0" applyNumberFormat="1" applyFont="1" applyFill="1" applyBorder="1"/>
    <xf numFmtId="0" fontId="2" fillId="0" borderId="17" xfId="0" applyFont="1" applyBorder="1"/>
    <xf numFmtId="0" fontId="2" fillId="0" borderId="47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10" fontId="8" fillId="5" borderId="40" xfId="0" applyNumberFormat="1" applyFont="1" applyFill="1" applyBorder="1" applyAlignment="1">
      <alignment horizontal="center"/>
    </xf>
    <xf numFmtId="0" fontId="0" fillId="0" borderId="20" xfId="0" applyBorder="1"/>
    <xf numFmtId="4" fontId="0" fillId="0" borderId="73" xfId="0" applyNumberFormat="1" applyBorder="1"/>
    <xf numFmtId="4" fontId="0" fillId="0" borderId="53" xfId="0" applyNumberFormat="1" applyBorder="1"/>
    <xf numFmtId="0" fontId="10" fillId="0" borderId="54" xfId="0" applyFont="1" applyBorder="1" applyAlignment="1">
      <alignment horizontal="center"/>
    </xf>
    <xf numFmtId="0" fontId="1" fillId="0" borderId="7" xfId="0" applyFont="1" applyBorder="1" applyProtection="1"/>
    <xf numFmtId="0" fontId="8" fillId="0" borderId="0" xfId="0" applyFont="1" applyAlignment="1">
      <alignment horizontal="center"/>
    </xf>
    <xf numFmtId="3" fontId="0" fillId="6" borderId="11" xfId="0" applyNumberFormat="1" applyFill="1" applyBorder="1" applyAlignment="1" applyProtection="1">
      <alignment horizontal="center"/>
      <protection locked="0"/>
    </xf>
    <xf numFmtId="3" fontId="0" fillId="6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7" xfId="0" applyFont="1" applyBorder="1"/>
    <xf numFmtId="0" fontId="8" fillId="0" borderId="19" xfId="0" applyFont="1" applyBorder="1"/>
    <xf numFmtId="0" fontId="8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2" fillId="0" borderId="17" xfId="0" applyFont="1" applyBorder="1" applyAlignment="1"/>
    <xf numFmtId="4" fontId="22" fillId="0" borderId="8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5" fillId="0" borderId="0" xfId="0" applyFont="1"/>
    <xf numFmtId="1" fontId="0" fillId="3" borderId="3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1" fontId="0" fillId="0" borderId="0" xfId="0" applyNumberFormat="1"/>
    <xf numFmtId="4" fontId="0" fillId="0" borderId="18" xfId="0" applyNumberFormat="1" applyFont="1" applyFill="1" applyBorder="1" applyProtection="1"/>
    <xf numFmtId="0" fontId="10" fillId="0" borderId="10" xfId="0" applyFont="1" applyBorder="1"/>
    <xf numFmtId="0" fontId="3" fillId="0" borderId="0" xfId="0" applyFont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6" fillId="0" borderId="7" xfId="0" applyFont="1" applyBorder="1" applyProtection="1"/>
    <xf numFmtId="4" fontId="26" fillId="0" borderId="8" xfId="0" applyNumberFormat="1" applyFont="1" applyFill="1" applyBorder="1" applyProtection="1"/>
    <xf numFmtId="4" fontId="26" fillId="0" borderId="9" xfId="0" applyNumberFormat="1" applyFont="1" applyFill="1" applyBorder="1" applyProtection="1"/>
    <xf numFmtId="4" fontId="7" fillId="6" borderId="21" xfId="0" applyNumberFormat="1" applyFont="1" applyFill="1" applyBorder="1" applyProtection="1"/>
    <xf numFmtId="4" fontId="26" fillId="0" borderId="8" xfId="0" applyNumberFormat="1" applyFont="1" applyBorder="1" applyProtection="1"/>
    <xf numFmtId="4" fontId="26" fillId="0" borderId="9" xfId="0" applyNumberFormat="1" applyFont="1" applyBorder="1" applyProtection="1"/>
    <xf numFmtId="4" fontId="7" fillId="0" borderId="5" xfId="0" applyNumberFormat="1" applyFont="1" applyBorder="1" applyProtection="1"/>
    <xf numFmtId="4" fontId="26" fillId="0" borderId="10" xfId="0" applyNumberFormat="1" applyFont="1" applyFill="1" applyBorder="1" applyProtection="1"/>
    <xf numFmtId="4" fontId="26" fillId="0" borderId="11" xfId="0" applyNumberFormat="1" applyFont="1" applyFill="1" applyBorder="1" applyProtection="1"/>
    <xf numFmtId="4" fontId="7" fillId="0" borderId="12" xfId="0" applyNumberFormat="1" applyFont="1" applyFill="1" applyBorder="1" applyProtection="1"/>
    <xf numFmtId="4" fontId="26" fillId="0" borderId="10" xfId="0" applyNumberFormat="1" applyFont="1" applyBorder="1" applyProtection="1"/>
    <xf numFmtId="4" fontId="26" fillId="0" borderId="11" xfId="0" applyNumberFormat="1" applyFont="1" applyBorder="1" applyProtection="1"/>
    <xf numFmtId="4" fontId="7" fillId="0" borderId="13" xfId="0" applyNumberFormat="1" applyFont="1" applyBorder="1" applyProtection="1"/>
    <xf numFmtId="10" fontId="26" fillId="6" borderId="11" xfId="0" applyNumberFormat="1" applyFont="1" applyFill="1" applyBorder="1" applyProtection="1"/>
    <xf numFmtId="4" fontId="7" fillId="0" borderId="12" xfId="0" applyNumberFormat="1" applyFont="1" applyBorder="1" applyProtection="1"/>
    <xf numFmtId="0" fontId="26" fillId="0" borderId="7" xfId="0" applyFont="1" applyBorder="1" applyAlignment="1" applyProtection="1">
      <alignment horizontal="center"/>
    </xf>
    <xf numFmtId="4" fontId="26" fillId="4" borderId="10" xfId="0" applyNumberFormat="1" applyFont="1" applyFill="1" applyBorder="1" applyAlignment="1" applyProtection="1">
      <alignment horizontal="center"/>
    </xf>
    <xf numFmtId="4" fontId="26" fillId="6" borderId="11" xfId="0" applyNumberFormat="1" applyFont="1" applyFill="1" applyBorder="1" applyProtection="1"/>
    <xf numFmtId="4" fontId="26" fillId="0" borderId="10" xfId="0" applyNumberFormat="1" applyFont="1" applyFill="1" applyBorder="1" applyAlignment="1" applyProtection="1">
      <alignment horizontal="center"/>
    </xf>
    <xf numFmtId="0" fontId="26" fillId="0" borderId="7" xfId="0" applyFont="1" applyBorder="1" applyAlignment="1" applyProtection="1">
      <alignment horizontal="left"/>
    </xf>
    <xf numFmtId="4" fontId="26" fillId="0" borderId="14" xfId="0" applyNumberFormat="1" applyFont="1" applyBorder="1" applyAlignment="1" applyProtection="1">
      <alignment horizontal="center"/>
    </xf>
    <xf numFmtId="4" fontId="26" fillId="0" borderId="15" xfId="0" applyNumberFormat="1" applyFont="1" applyBorder="1" applyProtection="1"/>
    <xf numFmtId="4" fontId="7" fillId="0" borderId="16" xfId="0" applyNumberFormat="1" applyFont="1" applyBorder="1" applyProtection="1"/>
    <xf numFmtId="4" fontId="26" fillId="0" borderId="14" xfId="0" applyNumberFormat="1" applyFont="1" applyBorder="1" applyProtection="1"/>
    <xf numFmtId="4" fontId="7" fillId="0" borderId="6" xfId="0" applyNumberFormat="1" applyFont="1" applyBorder="1" applyProtection="1"/>
    <xf numFmtId="0" fontId="7" fillId="0" borderId="17" xfId="0" applyFont="1" applyFill="1" applyBorder="1" applyProtection="1"/>
    <xf numFmtId="4" fontId="7" fillId="0" borderId="8" xfId="0" applyNumberFormat="1" applyFont="1" applyFill="1" applyBorder="1" applyProtection="1"/>
    <xf numFmtId="4" fontId="7" fillId="0" borderId="9" xfId="0" applyNumberFormat="1" applyFont="1" applyFill="1" applyBorder="1" applyProtection="1"/>
    <xf numFmtId="0" fontId="26" fillId="0" borderId="7" xfId="0" applyFont="1" applyFill="1" applyBorder="1" applyProtection="1"/>
    <xf numFmtId="0" fontId="7" fillId="0" borderId="10" xfId="0" applyFont="1" applyFill="1" applyBorder="1" applyProtection="1"/>
    <xf numFmtId="0" fontId="7" fillId="0" borderId="11" xfId="0" applyFont="1" applyFill="1" applyBorder="1" applyProtection="1"/>
    <xf numFmtId="0" fontId="7" fillId="0" borderId="18" xfId="0" applyFont="1" applyFill="1" applyBorder="1" applyProtection="1"/>
    <xf numFmtId="0" fontId="7" fillId="0" borderId="19" xfId="0" applyFont="1" applyFill="1" applyBorder="1" applyProtection="1"/>
    <xf numFmtId="10" fontId="7" fillId="0" borderId="14" xfId="2" applyNumberFormat="1" applyFont="1" applyFill="1" applyBorder="1" applyProtection="1"/>
    <xf numFmtId="10" fontId="7" fillId="0" borderId="15" xfId="2" applyNumberFormat="1" applyFont="1" applyFill="1" applyBorder="1" applyProtection="1"/>
    <xf numFmtId="10" fontId="7" fillId="8" borderId="15" xfId="2" applyNumberFormat="1" applyFont="1" applyFill="1" applyBorder="1" applyProtection="1"/>
    <xf numFmtId="10" fontId="7" fillId="8" borderId="20" xfId="2" applyNumberFormat="1" applyFont="1" applyFill="1" applyBorder="1" applyProtection="1"/>
    <xf numFmtId="0" fontId="7" fillId="0" borderId="13" xfId="0" applyFont="1" applyFill="1" applyBorder="1" applyProtection="1"/>
    <xf numFmtId="4" fontId="7" fillId="0" borderId="10" xfId="2" applyNumberFormat="1" applyFont="1" applyFill="1" applyBorder="1" applyProtection="1"/>
    <xf numFmtId="4" fontId="7" fillId="0" borderId="11" xfId="2" applyNumberFormat="1" applyFont="1" applyFill="1" applyBorder="1" applyProtection="1"/>
    <xf numFmtId="4" fontId="7" fillId="0" borderId="12" xfId="2" applyNumberFormat="1" applyFont="1" applyFill="1" applyBorder="1" applyProtection="1"/>
    <xf numFmtId="0" fontId="26" fillId="0" borderId="13" xfId="0" applyFont="1" applyFill="1" applyBorder="1" applyProtection="1"/>
    <xf numFmtId="0" fontId="26" fillId="0" borderId="13" xfId="0" applyFont="1" applyFill="1" applyBorder="1" applyAlignment="1" applyProtection="1">
      <alignment horizontal="center"/>
    </xf>
    <xf numFmtId="4" fontId="7" fillId="6" borderId="12" xfId="2" applyNumberFormat="1" applyFont="1" applyFill="1" applyBorder="1" applyProtection="1"/>
    <xf numFmtId="0" fontId="7" fillId="0" borderId="1" xfId="0" applyFont="1" applyFill="1" applyBorder="1" applyProtection="1"/>
    <xf numFmtId="4" fontId="7" fillId="0" borderId="22" xfId="2" applyNumberFormat="1" applyFont="1" applyFill="1" applyBorder="1" applyProtection="1"/>
    <xf numFmtId="4" fontId="7" fillId="5" borderId="24" xfId="2" applyNumberFormat="1" applyFont="1" applyFill="1" applyBorder="1" applyProtection="1"/>
    <xf numFmtId="4" fontId="7" fillId="5" borderId="1" xfId="0" applyNumberFormat="1" applyFont="1" applyFill="1" applyBorder="1" applyProtection="1"/>
    <xf numFmtId="4" fontId="7" fillId="0" borderId="24" xfId="2" applyNumberFormat="1" applyFont="1" applyFill="1" applyBorder="1" applyAlignment="1" applyProtection="1">
      <alignment horizontal="center"/>
    </xf>
    <xf numFmtId="4" fontId="7" fillId="0" borderId="1" xfId="0" applyNumberFormat="1" applyFont="1" applyBorder="1" applyProtection="1"/>
    <xf numFmtId="1" fontId="7" fillId="7" borderId="12" xfId="2" applyNumberFormat="1" applyFont="1" applyFill="1" applyBorder="1" applyAlignment="1" applyProtection="1">
      <alignment horizontal="center"/>
    </xf>
    <xf numFmtId="1" fontId="7" fillId="0" borderId="10" xfId="2" applyNumberFormat="1" applyFont="1" applyFill="1" applyBorder="1" applyAlignment="1" applyProtection="1">
      <alignment horizontal="center"/>
    </xf>
    <xf numFmtId="4" fontId="27" fillId="0" borderId="11" xfId="2" applyNumberFormat="1" applyFont="1" applyFill="1" applyBorder="1" applyProtection="1"/>
    <xf numFmtId="4" fontId="27" fillId="0" borderId="23" xfId="2" applyNumberFormat="1" applyFont="1" applyFill="1" applyBorder="1" applyAlignment="1" applyProtection="1">
      <alignment horizontal="center"/>
    </xf>
    <xf numFmtId="4" fontId="27" fillId="0" borderId="13" xfId="0" applyNumberFormat="1" applyFont="1" applyBorder="1" applyProtection="1"/>
    <xf numFmtId="4" fontId="27" fillId="14" borderId="23" xfId="2" applyNumberFormat="1" applyFont="1" applyFill="1" applyBorder="1" applyProtection="1"/>
    <xf numFmtId="4" fontId="28" fillId="14" borderId="1" xfId="0" applyNumberFormat="1" applyFont="1" applyFill="1" applyBorder="1" applyProtection="1"/>
    <xf numFmtId="1" fontId="27" fillId="11" borderId="11" xfId="2" applyNumberFormat="1" applyFont="1" applyFill="1" applyBorder="1" applyAlignment="1" applyProtection="1">
      <alignment horizontal="center"/>
    </xf>
    <xf numFmtId="4" fontId="29" fillId="0" borderId="1" xfId="2" applyNumberFormat="1" applyFont="1" applyFill="1" applyBorder="1" applyProtection="1"/>
    <xf numFmtId="4" fontId="6" fillId="0" borderId="2" xfId="2" applyNumberFormat="1" applyFont="1" applyFill="1" applyBorder="1" applyProtection="1"/>
    <xf numFmtId="4" fontId="6" fillId="0" borderId="3" xfId="2" applyNumberFormat="1" applyFont="1" applyFill="1" applyBorder="1" applyProtection="1"/>
    <xf numFmtId="4" fontId="6" fillId="0" borderId="4" xfId="2" applyNumberFormat="1" applyFont="1" applyFill="1" applyBorder="1" applyProtection="1"/>
    <xf numFmtId="0" fontId="9" fillId="0" borderId="1" xfId="0" applyFont="1" applyFill="1" applyBorder="1" applyProtection="1"/>
    <xf numFmtId="10" fontId="3" fillId="0" borderId="0" xfId="0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26" fillId="4" borderId="11" xfId="2" applyNumberFormat="1" applyFont="1" applyFill="1" applyBorder="1" applyAlignment="1" applyProtection="1">
      <alignment horizontal="center"/>
    </xf>
    <xf numFmtId="4" fontId="26" fillId="4" borderId="11" xfId="0" applyNumberFormat="1" applyFont="1" applyFill="1" applyBorder="1" applyAlignment="1" applyProtection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18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4" fontId="10" fillId="5" borderId="20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4" fontId="0" fillId="3" borderId="18" xfId="0" applyNumberFormat="1" applyFill="1" applyBorder="1" applyAlignment="1" applyProtection="1">
      <alignment horizontal="center"/>
      <protection locked="0"/>
    </xf>
    <xf numFmtId="4" fontId="0" fillId="11" borderId="18" xfId="0" applyNumberForma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 applyProtection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15" fillId="0" borderId="17" xfId="0" applyFont="1" applyFill="1" applyBorder="1" applyAlignment="1" applyProtection="1">
      <alignment horizontal="center"/>
    </xf>
    <xf numFmtId="0" fontId="0" fillId="0" borderId="47" xfId="0" applyBorder="1"/>
    <xf numFmtId="0" fontId="0" fillId="0" borderId="25" xfId="0" applyBorder="1"/>
    <xf numFmtId="0" fontId="0" fillId="0" borderId="19" xfId="0" applyBorder="1"/>
    <xf numFmtId="0" fontId="0" fillId="0" borderId="45" xfId="0" applyBorder="1"/>
    <xf numFmtId="0" fontId="0" fillId="0" borderId="41" xfId="0" applyBorder="1"/>
    <xf numFmtId="0" fontId="15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1" fontId="10" fillId="3" borderId="50" xfId="0" applyNumberFormat="1" applyFont="1" applyFill="1" applyBorder="1" applyAlignment="1" applyProtection="1">
      <alignment horizontal="center"/>
      <protection locked="0"/>
    </xf>
    <xf numFmtId="1" fontId="10" fillId="3" borderId="51" xfId="0" applyNumberFormat="1" applyFont="1" applyFill="1" applyBorder="1" applyAlignment="1" applyProtection="1">
      <alignment horizontal="center"/>
      <protection locked="0"/>
    </xf>
    <xf numFmtId="0" fontId="21" fillId="0" borderId="56" xfId="0" applyFont="1" applyFill="1" applyBorder="1" applyAlignment="1">
      <alignment horizontal="center"/>
    </xf>
    <xf numFmtId="4" fontId="0" fillId="0" borderId="20" xfId="0" applyNumberFormat="1" applyBorder="1" applyAlignment="1" applyProtection="1"/>
    <xf numFmtId="0" fontId="0" fillId="0" borderId="45" xfId="0" applyBorder="1" applyAlignment="1"/>
    <xf numFmtId="0" fontId="0" fillId="0" borderId="54" xfId="0" applyBorder="1" applyAlignment="1"/>
    <xf numFmtId="0" fontId="1" fillId="0" borderId="50" xfId="0" applyFont="1" applyBorder="1" applyAlignment="1"/>
    <xf numFmtId="0" fontId="0" fillId="0" borderId="72" xfId="0" applyBorder="1" applyAlignment="1"/>
    <xf numFmtId="0" fontId="0" fillId="0" borderId="51" xfId="0" applyBorder="1" applyAlignment="1"/>
    <xf numFmtId="4" fontId="9" fillId="0" borderId="55" xfId="0" applyNumberFormat="1" applyFont="1" applyFill="1" applyBorder="1" applyAlignment="1" applyProtection="1">
      <alignment horizontal="left"/>
    </xf>
    <xf numFmtId="0" fontId="0" fillId="0" borderId="71" xfId="0" applyBorder="1" applyAlignment="1"/>
    <xf numFmtId="0" fontId="0" fillId="0" borderId="56" xfId="0" applyBorder="1" applyAlignment="1"/>
    <xf numFmtId="4" fontId="0" fillId="0" borderId="18" xfId="0" applyNumberFormat="1" applyBorder="1" applyAlignment="1" applyProtection="1"/>
    <xf numFmtId="0" fontId="0" fillId="0" borderId="0" xfId="0" applyAlignment="1"/>
    <xf numFmtId="0" fontId="0" fillId="0" borderId="48" xfId="0" applyBorder="1" applyAlignment="1"/>
    <xf numFmtId="4" fontId="6" fillId="0" borderId="2" xfId="2" applyNumberFormat="1" applyFont="1" applyFill="1" applyBorder="1" applyAlignment="1" applyProtection="1">
      <alignment horizontal="center"/>
    </xf>
    <xf numFmtId="4" fontId="6" fillId="0" borderId="3" xfId="2" applyNumberFormat="1" applyFont="1" applyFill="1" applyBorder="1" applyAlignment="1" applyProtection="1">
      <alignment horizontal="center"/>
    </xf>
    <xf numFmtId="4" fontId="6" fillId="0" borderId="4" xfId="2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0000"/>
      <color rgb="FF00FF00"/>
      <color rgb="FFFEBAB8"/>
      <color rgb="FF2CAD1B"/>
      <color rgb="FFFC565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Taux de marge sur coûts variables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0070C0"/>
            </a:solidFill>
          </c:spPr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cat>
            <c:strRef>
              <c:f>'Synthèse des résultats'!$B$2:$E$2</c:f>
              <c:strCache>
                <c:ptCount val="4"/>
                <c:pt idx="0">
                  <c:v>Pech4</c:v>
                </c:pt>
                <c:pt idx="1">
                  <c:v>Prom5.5</c:v>
                </c:pt>
                <c:pt idx="2">
                  <c:v>Stan8</c:v>
                </c:pt>
                <c:pt idx="3">
                  <c:v>Global</c:v>
                </c:pt>
              </c:strCache>
            </c:strRef>
          </c:cat>
          <c:val>
            <c:numRef>
              <c:f>'Synthèse des résultats'!$B$3:$E$3</c:f>
              <c:numCache>
                <c:formatCode>0.00%</c:formatCode>
                <c:ptCount val="4"/>
                <c:pt idx="0">
                  <c:v>0.31624999999999998</c:v>
                </c:pt>
                <c:pt idx="1">
                  <c:v>0.45055555555555554</c:v>
                </c:pt>
                <c:pt idx="2">
                  <c:v>0.51959999999999995</c:v>
                </c:pt>
                <c:pt idx="3">
                  <c:v>0.42910784313725492</c:v>
                </c:pt>
              </c:numCache>
            </c:numRef>
          </c:val>
        </c:ser>
        <c:shape val="box"/>
        <c:axId val="53081600"/>
        <c:axId val="53714944"/>
        <c:axId val="0"/>
      </c:bar3DChart>
      <c:catAx>
        <c:axId val="53081600"/>
        <c:scaling>
          <c:orientation val="minMax"/>
        </c:scaling>
        <c:axPos val="b"/>
        <c:majorTickMark val="none"/>
        <c:tickLblPos val="nextTo"/>
        <c:crossAx val="53714944"/>
        <c:crosses val="autoZero"/>
        <c:auto val="1"/>
        <c:lblAlgn val="ctr"/>
        <c:lblOffset val="100"/>
      </c:catAx>
      <c:valAx>
        <c:axId val="53714944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5308160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Marges de contribution trimestrielles corrigées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0070C0"/>
            </a:solidFill>
          </c:spPr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cat>
            <c:strRef>
              <c:f>'Synthèse des résultats'!$B$20:$E$20</c:f>
              <c:strCache>
                <c:ptCount val="4"/>
                <c:pt idx="0">
                  <c:v>Pech4</c:v>
                </c:pt>
                <c:pt idx="1">
                  <c:v>Prom5.5</c:v>
                </c:pt>
                <c:pt idx="2">
                  <c:v>Stan8</c:v>
                </c:pt>
                <c:pt idx="3">
                  <c:v>Globale</c:v>
                </c:pt>
              </c:strCache>
            </c:strRef>
          </c:cat>
          <c:val>
            <c:numRef>
              <c:f>'Synthèse des résultats'!$B$21:$E$21</c:f>
              <c:numCache>
                <c:formatCode>#,##0.00</c:formatCode>
                <c:ptCount val="4"/>
                <c:pt idx="0">
                  <c:v>224700</c:v>
                </c:pt>
                <c:pt idx="1">
                  <c:v>847950</c:v>
                </c:pt>
                <c:pt idx="2">
                  <c:v>218820</c:v>
                </c:pt>
                <c:pt idx="3">
                  <c:v>1291470</c:v>
                </c:pt>
              </c:numCache>
            </c:numRef>
          </c:val>
        </c:ser>
        <c:shape val="box"/>
        <c:axId val="53799552"/>
        <c:axId val="55954048"/>
        <c:axId val="0"/>
      </c:bar3DChart>
      <c:catAx>
        <c:axId val="53799552"/>
        <c:scaling>
          <c:orientation val="minMax"/>
        </c:scaling>
        <c:axPos val="b"/>
        <c:majorTickMark val="none"/>
        <c:tickLblPos val="nextTo"/>
        <c:crossAx val="55954048"/>
        <c:crosses val="autoZero"/>
        <c:auto val="1"/>
        <c:lblAlgn val="ctr"/>
        <c:lblOffset val="100"/>
      </c:catAx>
      <c:valAx>
        <c:axId val="55954048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5379955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000"/>
              <a:t>Taux  profitabilité / ch. d'affaires et rentabilité / Capitaux propres </a:t>
            </a:r>
          </a:p>
        </c:rich>
      </c:tx>
      <c:layout>
        <c:manualLayout>
          <c:xMode val="edge"/>
          <c:yMode val="edge"/>
          <c:x val="0.29089238845144388"/>
          <c:y val="3.7037037037037056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numFmt formatCode="0.00%" sourceLinked="0"/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'Synthèse des résultats'!$I$3:$J$3</c:f>
              <c:strCache>
                <c:ptCount val="2"/>
                <c:pt idx="0">
                  <c:v>Taux de profitabilité</c:v>
                </c:pt>
                <c:pt idx="1">
                  <c:v>Taux de rentabilité</c:v>
                </c:pt>
              </c:strCache>
            </c:strRef>
          </c:cat>
          <c:val>
            <c:numRef>
              <c:f>'Synthèse des résultats'!$I$4:$J$4</c:f>
              <c:numCache>
                <c:formatCode>0.00%</c:formatCode>
                <c:ptCount val="2"/>
                <c:pt idx="0">
                  <c:v>0.20544554901960785</c:v>
                </c:pt>
                <c:pt idx="1">
                  <c:v>1.0514027806590811</c:v>
                </c:pt>
              </c:numCache>
            </c:numRef>
          </c:val>
        </c:ser>
        <c:shape val="box"/>
        <c:axId val="73065600"/>
        <c:axId val="99193216"/>
        <c:axId val="0"/>
      </c:bar3DChart>
      <c:catAx>
        <c:axId val="73065600"/>
        <c:scaling>
          <c:orientation val="minMax"/>
        </c:scaling>
        <c:axPos val="b"/>
        <c:majorTickMark val="none"/>
        <c:tickLblPos val="low"/>
        <c:crossAx val="99193216"/>
        <c:crosses val="autoZero"/>
        <c:auto val="1"/>
        <c:lblAlgn val="ctr"/>
        <c:lblOffset val="100"/>
      </c:catAx>
      <c:valAx>
        <c:axId val="99193216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7306560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Evolution du compte bancaire d'un trimestre sur l'autre</a:t>
            </a:r>
          </a:p>
        </c:rich>
      </c:tx>
      <c:layout>
        <c:manualLayout>
          <c:xMode val="edge"/>
          <c:yMode val="edge"/>
          <c:x val="0.32153460623561042"/>
          <c:y val="5.729166666666666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3805231535072665"/>
          <c:y val="0.16423187335957998"/>
          <c:w val="0.84471558987275186"/>
          <c:h val="0.6948740977690292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dPt>
            <c:idx val="1"/>
            <c:spPr>
              <a:solidFill>
                <a:srgbClr val="FFFF00"/>
              </a:solidFill>
            </c:spPr>
          </c:dPt>
          <c:dLbls>
            <c:numFmt formatCode="#,##0.00_ ;[Red]\-#,##0.00\ " sourceLinked="0"/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'Synthèse des résultats'!$J$19:$K$19</c:f>
              <c:strCache>
                <c:ptCount val="2"/>
                <c:pt idx="0">
                  <c:v>trimestre 4</c:v>
                </c:pt>
                <c:pt idx="1">
                  <c:v>trimestre 1</c:v>
                </c:pt>
              </c:strCache>
            </c:strRef>
          </c:cat>
          <c:val>
            <c:numRef>
              <c:f>'Synthèse des résultats'!$J$20:$K$20</c:f>
              <c:numCache>
                <c:formatCode>#,##0.00</c:formatCode>
                <c:ptCount val="2"/>
                <c:pt idx="0">
                  <c:v>167300</c:v>
                </c:pt>
                <c:pt idx="1">
                  <c:v>203178.5</c:v>
                </c:pt>
              </c:numCache>
            </c:numRef>
          </c:val>
        </c:ser>
        <c:shape val="box"/>
        <c:axId val="119401088"/>
        <c:axId val="119402880"/>
        <c:axId val="0"/>
      </c:bar3DChart>
      <c:catAx>
        <c:axId val="119401088"/>
        <c:scaling>
          <c:orientation val="minMax"/>
        </c:scaling>
        <c:axPos val="b"/>
        <c:majorTickMark val="none"/>
        <c:tickLblPos val="low"/>
        <c:crossAx val="119402880"/>
        <c:crosses val="autoZero"/>
        <c:auto val="1"/>
        <c:lblAlgn val="ctr"/>
        <c:lblOffset val="100"/>
      </c:catAx>
      <c:valAx>
        <c:axId val="11940288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1940108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200"/>
              <a:t>Taux de marge sur coûts variables</a:t>
            </a:r>
          </a:p>
        </c:rich>
      </c:tx>
      <c:layout>
        <c:manualLayout>
          <c:xMode val="edge"/>
          <c:yMode val="edge"/>
          <c:x val="0.25474254559381793"/>
          <c:y val="3.0651340996168602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cat>
            <c:strRef>
              <c:f>Marges!$N$4:$Q$4</c:f>
              <c:strCache>
                <c:ptCount val="4"/>
                <c:pt idx="0">
                  <c:v>Pech4</c:v>
                </c:pt>
                <c:pt idx="1">
                  <c:v>Prom5.5</c:v>
                </c:pt>
                <c:pt idx="2">
                  <c:v>Stan8</c:v>
                </c:pt>
                <c:pt idx="3">
                  <c:v>global</c:v>
                </c:pt>
              </c:strCache>
            </c:strRef>
          </c:cat>
          <c:val>
            <c:numRef>
              <c:f>Marges!$N$5:$Q$5</c:f>
              <c:numCache>
                <c:formatCode>0.00%</c:formatCode>
                <c:ptCount val="4"/>
                <c:pt idx="0">
                  <c:v>0.31624999999999998</c:v>
                </c:pt>
                <c:pt idx="1">
                  <c:v>0.45055555555555554</c:v>
                </c:pt>
                <c:pt idx="2">
                  <c:v>0.51959999999999995</c:v>
                </c:pt>
                <c:pt idx="3">
                  <c:v>0.42910784313725492</c:v>
                </c:pt>
              </c:numCache>
            </c:numRef>
          </c:val>
        </c:ser>
        <c:shape val="box"/>
        <c:axId val="158060928"/>
        <c:axId val="158063232"/>
        <c:axId val="0"/>
      </c:bar3DChart>
      <c:catAx>
        <c:axId val="158060928"/>
        <c:scaling>
          <c:orientation val="minMax"/>
        </c:scaling>
        <c:axPos val="b"/>
        <c:majorTickMark val="none"/>
        <c:tickLblPos val="nextTo"/>
        <c:crossAx val="158063232"/>
        <c:crosses val="autoZero"/>
        <c:auto val="1"/>
        <c:lblAlgn val="ctr"/>
        <c:lblOffset val="100"/>
      </c:catAx>
      <c:valAx>
        <c:axId val="158063232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crossAx val="1580609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Marges de contribution trimestrielles corrigées</a:t>
            </a:r>
          </a:p>
        </c:rich>
      </c:tx>
      <c:layout>
        <c:manualLayout>
          <c:xMode val="edge"/>
          <c:yMode val="edge"/>
          <c:x val="0.22221475648877223"/>
          <c:y val="3.6036036036036036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cat>
            <c:strRef>
              <c:f>Marges!$N$29:$Q$29</c:f>
              <c:strCache>
                <c:ptCount val="4"/>
                <c:pt idx="0">
                  <c:v>Pech4</c:v>
                </c:pt>
                <c:pt idx="1">
                  <c:v>Prom5.5</c:v>
                </c:pt>
                <c:pt idx="2">
                  <c:v>Stan8</c:v>
                </c:pt>
                <c:pt idx="3">
                  <c:v>Globale</c:v>
                </c:pt>
              </c:strCache>
            </c:strRef>
          </c:cat>
          <c:val>
            <c:numRef>
              <c:f>Marges!$N$30:$Q$30</c:f>
              <c:numCache>
                <c:formatCode>#,##0.00</c:formatCode>
                <c:ptCount val="4"/>
                <c:pt idx="0">
                  <c:v>224700</c:v>
                </c:pt>
                <c:pt idx="1">
                  <c:v>847950</c:v>
                </c:pt>
                <c:pt idx="2">
                  <c:v>218820</c:v>
                </c:pt>
                <c:pt idx="3">
                  <c:v>1291470</c:v>
                </c:pt>
              </c:numCache>
            </c:numRef>
          </c:val>
        </c:ser>
        <c:shape val="box"/>
        <c:axId val="217944064"/>
        <c:axId val="217945600"/>
        <c:axId val="0"/>
      </c:bar3DChart>
      <c:catAx>
        <c:axId val="217944064"/>
        <c:scaling>
          <c:orientation val="minMax"/>
        </c:scaling>
        <c:axPos val="b"/>
        <c:majorTickMark val="none"/>
        <c:tickLblPos val="nextTo"/>
        <c:crossAx val="217945600"/>
        <c:crosses val="autoZero"/>
        <c:auto val="1"/>
        <c:lblAlgn val="ctr"/>
        <c:lblOffset val="100"/>
      </c:catAx>
      <c:valAx>
        <c:axId val="21794560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21794406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Évolution du compte bancaire d'un trimestre</a:t>
            </a:r>
            <a:r>
              <a:rPr lang="fr-FR" sz="1100" baseline="0"/>
              <a:t> sur l'autre</a:t>
            </a:r>
            <a:endParaRPr lang="fr-FR" sz="1100"/>
          </a:p>
        </c:rich>
      </c:tx>
      <c:layout>
        <c:manualLayout>
          <c:xMode val="edge"/>
          <c:yMode val="edge"/>
          <c:x val="0.14763188976377953"/>
          <c:y val="2.7777777777777842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#,##0.00_ ;[Red]\-#,##0.00\ " sourceLinked="0"/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'Flux trésorerie'!$J$11:$K$11</c:f>
              <c:strCache>
                <c:ptCount val="2"/>
                <c:pt idx="0">
                  <c:v>trimestre 4</c:v>
                </c:pt>
                <c:pt idx="1">
                  <c:v>trimestre 1</c:v>
                </c:pt>
              </c:strCache>
            </c:strRef>
          </c:cat>
          <c:val>
            <c:numRef>
              <c:f>'Flux trésorerie'!$J$12:$K$12</c:f>
              <c:numCache>
                <c:formatCode>#,##0.00</c:formatCode>
                <c:ptCount val="2"/>
                <c:pt idx="0">
                  <c:v>167300</c:v>
                </c:pt>
                <c:pt idx="1">
                  <c:v>203178.5</c:v>
                </c:pt>
              </c:numCache>
            </c:numRef>
          </c:val>
        </c:ser>
        <c:shape val="box"/>
        <c:axId val="53211904"/>
        <c:axId val="53213440"/>
        <c:axId val="0"/>
      </c:bar3DChart>
      <c:catAx>
        <c:axId val="53211904"/>
        <c:scaling>
          <c:orientation val="minMax"/>
        </c:scaling>
        <c:axPos val="b"/>
        <c:majorTickMark val="none"/>
        <c:tickLblPos val="low"/>
        <c:crossAx val="53213440"/>
        <c:crosses val="autoZero"/>
        <c:auto val="1"/>
        <c:lblAlgn val="ctr"/>
        <c:lblOffset val="100"/>
      </c:catAx>
      <c:valAx>
        <c:axId val="5321344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53211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523876</xdr:colOff>
      <xdr:row>20</xdr:row>
      <xdr:rowOff>0</xdr:rowOff>
    </xdr:from>
    <xdr:to>
      <xdr:col>4</xdr:col>
      <xdr:colOff>390526</xdr:colOff>
      <xdr:row>21</xdr:row>
      <xdr:rowOff>38100</xdr:rowOff>
    </xdr:to>
    <xdr:sp macro="" textlink="">
      <xdr:nvSpPr>
        <xdr:cNvPr id="6" name="Ellipse 5"/>
        <xdr:cNvSpPr/>
      </xdr:nvSpPr>
      <xdr:spPr bwMode="auto">
        <a:xfrm>
          <a:off x="2505076" y="5391150"/>
          <a:ext cx="628650" cy="200025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190500</xdr:colOff>
      <xdr:row>27</xdr:row>
      <xdr:rowOff>9526</xdr:rowOff>
    </xdr:from>
    <xdr:to>
      <xdr:col>5</xdr:col>
      <xdr:colOff>209549</xdr:colOff>
      <xdr:row>28</xdr:row>
      <xdr:rowOff>28576</xdr:rowOff>
    </xdr:to>
    <xdr:sp macro="" textlink="">
      <xdr:nvSpPr>
        <xdr:cNvPr id="3" name="Ellipse 2"/>
        <xdr:cNvSpPr/>
      </xdr:nvSpPr>
      <xdr:spPr bwMode="auto">
        <a:xfrm>
          <a:off x="2009775" y="4914901"/>
          <a:ext cx="781049" cy="190500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314325</xdr:colOff>
      <xdr:row>23</xdr:row>
      <xdr:rowOff>85725</xdr:rowOff>
    </xdr:from>
    <xdr:to>
      <xdr:col>2</xdr:col>
      <xdr:colOff>619125</xdr:colOff>
      <xdr:row>23</xdr:row>
      <xdr:rowOff>85726</xdr:rowOff>
    </xdr:to>
    <xdr:cxnSp macro="">
      <xdr:nvCxnSpPr>
        <xdr:cNvPr id="5" name="Connecteur droit avec flèche 4"/>
        <xdr:cNvCxnSpPr/>
      </xdr:nvCxnSpPr>
      <xdr:spPr bwMode="auto">
        <a:xfrm flipV="1">
          <a:off x="742950" y="4257675"/>
          <a:ext cx="304800" cy="1"/>
        </a:xfrm>
        <a:prstGeom prst="straightConnector1">
          <a:avLst/>
        </a:prstGeom>
        <a:solidFill>
          <a:srgbClr val="090000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304800</xdr:colOff>
      <xdr:row>23</xdr:row>
      <xdr:rowOff>85725</xdr:rowOff>
    </xdr:from>
    <xdr:to>
      <xdr:col>12</xdr:col>
      <xdr:colOff>714375</xdr:colOff>
      <xdr:row>26</xdr:row>
      <xdr:rowOff>28575</xdr:rowOff>
    </xdr:to>
    <xdr:sp macro="" textlink="">
      <xdr:nvSpPr>
        <xdr:cNvPr id="7" name="Rectangle 6"/>
        <xdr:cNvSpPr/>
      </xdr:nvSpPr>
      <xdr:spPr bwMode="auto">
        <a:xfrm>
          <a:off x="6791325" y="4257675"/>
          <a:ext cx="1266825" cy="438150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200"/>
            <a:t>Voir le Compte de résultat</a:t>
          </a:r>
        </a:p>
      </xdr:txBody>
    </xdr:sp>
    <xdr:clientData/>
  </xdr:twoCellAnchor>
  <xdr:twoCellAnchor>
    <xdr:from>
      <xdr:col>14</xdr:col>
      <xdr:colOff>723900</xdr:colOff>
      <xdr:row>23</xdr:row>
      <xdr:rowOff>104775</xdr:rowOff>
    </xdr:from>
    <xdr:to>
      <xdr:col>16</xdr:col>
      <xdr:colOff>752475</xdr:colOff>
      <xdr:row>26</xdr:row>
      <xdr:rowOff>47625</xdr:rowOff>
    </xdr:to>
    <xdr:sp macro="" textlink="">
      <xdr:nvSpPr>
        <xdr:cNvPr id="8" name="Rectangle 7"/>
        <xdr:cNvSpPr/>
      </xdr:nvSpPr>
      <xdr:spPr bwMode="auto">
        <a:xfrm>
          <a:off x="9591675" y="4276725"/>
          <a:ext cx="1571625" cy="438150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200"/>
            <a:t>Voir le Bilan</a:t>
          </a:r>
        </a:p>
      </xdr:txBody>
    </xdr:sp>
    <xdr:clientData/>
  </xdr:twoCellAnchor>
  <xdr:twoCellAnchor>
    <xdr:from>
      <xdr:col>9</xdr:col>
      <xdr:colOff>457200</xdr:colOff>
      <xdr:row>26</xdr:row>
      <xdr:rowOff>9525</xdr:rowOff>
    </xdr:from>
    <xdr:to>
      <xdr:col>11</xdr:col>
      <xdr:colOff>333375</xdr:colOff>
      <xdr:row>31</xdr:row>
      <xdr:rowOff>38100</xdr:rowOff>
    </xdr:to>
    <xdr:cxnSp macro="">
      <xdr:nvCxnSpPr>
        <xdr:cNvPr id="10" name="Connecteur droit avec flèche 9"/>
        <xdr:cNvCxnSpPr/>
      </xdr:nvCxnSpPr>
      <xdr:spPr bwMode="auto">
        <a:xfrm flipH="1">
          <a:off x="6010275" y="4676775"/>
          <a:ext cx="809625" cy="1019175"/>
        </a:xfrm>
        <a:prstGeom prst="straightConnector1">
          <a:avLst/>
        </a:prstGeom>
        <a:solidFill>
          <a:srgbClr val="090000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600075</xdr:colOff>
      <xdr:row>26</xdr:row>
      <xdr:rowOff>47625</xdr:rowOff>
    </xdr:from>
    <xdr:to>
      <xdr:col>15</xdr:col>
      <xdr:colOff>747713</xdr:colOff>
      <xdr:row>30</xdr:row>
      <xdr:rowOff>66675</xdr:rowOff>
    </xdr:to>
    <xdr:cxnSp macro="">
      <xdr:nvCxnSpPr>
        <xdr:cNvPr id="11" name="Connecteur droit avec flèche 10"/>
        <xdr:cNvCxnSpPr>
          <a:stCxn id="8" idx="2"/>
        </xdr:cNvCxnSpPr>
      </xdr:nvCxnSpPr>
      <xdr:spPr bwMode="auto">
        <a:xfrm flipH="1">
          <a:off x="10229850" y="4714875"/>
          <a:ext cx="147638" cy="781050"/>
        </a:xfrm>
        <a:prstGeom prst="straightConnector1">
          <a:avLst/>
        </a:prstGeom>
        <a:solidFill>
          <a:srgbClr val="090000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747713</xdr:colOff>
      <xdr:row>26</xdr:row>
      <xdr:rowOff>47625</xdr:rowOff>
    </xdr:from>
    <xdr:to>
      <xdr:col>16</xdr:col>
      <xdr:colOff>190500</xdr:colOff>
      <xdr:row>37</xdr:row>
      <xdr:rowOff>95250</xdr:rowOff>
    </xdr:to>
    <xdr:cxnSp macro="">
      <xdr:nvCxnSpPr>
        <xdr:cNvPr id="12" name="Connecteur droit avec flèche 11"/>
        <xdr:cNvCxnSpPr>
          <a:stCxn id="8" idx="2"/>
        </xdr:cNvCxnSpPr>
      </xdr:nvCxnSpPr>
      <xdr:spPr bwMode="auto">
        <a:xfrm>
          <a:off x="10377488" y="4714875"/>
          <a:ext cx="223837" cy="2447925"/>
        </a:xfrm>
        <a:prstGeom prst="straightConnector1">
          <a:avLst/>
        </a:prstGeom>
        <a:solidFill>
          <a:srgbClr val="090000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304800</xdr:colOff>
      <xdr:row>19</xdr:row>
      <xdr:rowOff>152400</xdr:rowOff>
    </xdr:from>
    <xdr:to>
      <xdr:col>14</xdr:col>
      <xdr:colOff>57150</xdr:colOff>
      <xdr:row>22</xdr:row>
      <xdr:rowOff>95250</xdr:rowOff>
    </xdr:to>
    <xdr:sp macro="" textlink="">
      <xdr:nvSpPr>
        <xdr:cNvPr id="24" name="Rectangle 23"/>
        <xdr:cNvSpPr/>
      </xdr:nvSpPr>
      <xdr:spPr bwMode="auto">
        <a:xfrm>
          <a:off x="6791325" y="3667125"/>
          <a:ext cx="2133600" cy="438150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/>
            <a:t>Voir étude "éléments de prévision des ventes"</a:t>
          </a:r>
        </a:p>
      </xdr:txBody>
    </xdr:sp>
    <xdr:clientData/>
  </xdr:twoCellAnchor>
  <xdr:twoCellAnchor>
    <xdr:from>
      <xdr:col>8</xdr:col>
      <xdr:colOff>523876</xdr:colOff>
      <xdr:row>22</xdr:row>
      <xdr:rowOff>95250</xdr:rowOff>
    </xdr:from>
    <xdr:to>
      <xdr:col>11</xdr:col>
      <xdr:colOff>333375</xdr:colOff>
      <xdr:row>25</xdr:row>
      <xdr:rowOff>85725</xdr:rowOff>
    </xdr:to>
    <xdr:cxnSp macro="">
      <xdr:nvCxnSpPr>
        <xdr:cNvPr id="25" name="Connecteur droit avec flèche 24"/>
        <xdr:cNvCxnSpPr/>
      </xdr:nvCxnSpPr>
      <xdr:spPr bwMode="auto">
        <a:xfrm flipH="1">
          <a:off x="5457826" y="4105275"/>
          <a:ext cx="1362074" cy="476250"/>
        </a:xfrm>
        <a:prstGeom prst="straightConnector1">
          <a:avLst/>
        </a:prstGeom>
        <a:solidFill>
          <a:srgbClr val="090000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161925</xdr:colOff>
      <xdr:row>19</xdr:row>
      <xdr:rowOff>152400</xdr:rowOff>
    </xdr:from>
    <xdr:to>
      <xdr:col>16</xdr:col>
      <xdr:colOff>742950</xdr:colOff>
      <xdr:row>22</xdr:row>
      <xdr:rowOff>95250</xdr:rowOff>
    </xdr:to>
    <xdr:sp macro="" textlink="">
      <xdr:nvSpPr>
        <xdr:cNvPr id="29" name="Rectangle 28"/>
        <xdr:cNvSpPr/>
      </xdr:nvSpPr>
      <xdr:spPr bwMode="auto">
        <a:xfrm>
          <a:off x="9029700" y="3667125"/>
          <a:ext cx="2124075" cy="438150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200"/>
            <a:t>Voir "décisions" ou "fournisseurs</a:t>
          </a:r>
          <a:r>
            <a:rPr lang="fr-FR" sz="1200" baseline="0"/>
            <a:t> machines, tarifs"</a:t>
          </a:r>
          <a:endParaRPr lang="fr-FR" sz="1200"/>
        </a:p>
      </xdr:txBody>
    </xdr:sp>
    <xdr:clientData/>
  </xdr:twoCellAnchor>
  <xdr:twoCellAnchor>
    <xdr:from>
      <xdr:col>14</xdr:col>
      <xdr:colOff>704850</xdr:colOff>
      <xdr:row>17</xdr:row>
      <xdr:rowOff>57150</xdr:rowOff>
    </xdr:from>
    <xdr:to>
      <xdr:col>15</xdr:col>
      <xdr:colOff>85725</xdr:colOff>
      <xdr:row>19</xdr:row>
      <xdr:rowOff>152400</xdr:rowOff>
    </xdr:to>
    <xdr:cxnSp macro="">
      <xdr:nvCxnSpPr>
        <xdr:cNvPr id="30" name="Connecteur droit avec flèche 29"/>
        <xdr:cNvCxnSpPr/>
      </xdr:nvCxnSpPr>
      <xdr:spPr bwMode="auto">
        <a:xfrm flipH="1" flipV="1">
          <a:off x="9572625" y="3219450"/>
          <a:ext cx="142875" cy="447675"/>
        </a:xfrm>
        <a:prstGeom prst="straightConnector1">
          <a:avLst/>
        </a:prstGeom>
        <a:solidFill>
          <a:srgbClr val="090000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123825</xdr:colOff>
      <xdr:row>7</xdr:row>
      <xdr:rowOff>28575</xdr:rowOff>
    </xdr:from>
    <xdr:to>
      <xdr:col>5</xdr:col>
      <xdr:colOff>781050</xdr:colOff>
      <xdr:row>7</xdr:row>
      <xdr:rowOff>114300</xdr:rowOff>
    </xdr:to>
    <xdr:sp macro="" textlink="">
      <xdr:nvSpPr>
        <xdr:cNvPr id="15" name="Flèche droite 14"/>
        <xdr:cNvSpPr/>
      </xdr:nvSpPr>
      <xdr:spPr bwMode="auto">
        <a:xfrm>
          <a:off x="2705100" y="1409700"/>
          <a:ext cx="657225" cy="85725"/>
        </a:xfrm>
        <a:prstGeom prst="rightArrow">
          <a:avLst/>
        </a:prstGeom>
        <a:solidFill>
          <a:srgbClr val="FFFF00"/>
        </a:solidFill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8</xdr:col>
      <xdr:colOff>95250</xdr:colOff>
      <xdr:row>14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15</xdr:row>
      <xdr:rowOff>9525</xdr:rowOff>
    </xdr:from>
    <xdr:to>
      <xdr:col>8</xdr:col>
      <xdr:colOff>95249</xdr:colOff>
      <xdr:row>30</xdr:row>
      <xdr:rowOff>28575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123825</xdr:colOff>
      <xdr:row>0</xdr:row>
      <xdr:rowOff>28575</xdr:rowOff>
    </xdr:from>
    <xdr:to>
      <xdr:col>15</xdr:col>
      <xdr:colOff>695325</xdr:colOff>
      <xdr:row>15</xdr:row>
      <xdr:rowOff>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114300</xdr:colOff>
      <xdr:row>15</xdr:row>
      <xdr:rowOff>0</xdr:rowOff>
    </xdr:from>
    <xdr:to>
      <xdr:col>15</xdr:col>
      <xdr:colOff>676275</xdr:colOff>
      <xdr:row>30</xdr:row>
      <xdr:rowOff>9525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21</xdr:row>
      <xdr:rowOff>133351</xdr:rowOff>
    </xdr:from>
    <xdr:to>
      <xdr:col>1</xdr:col>
      <xdr:colOff>1057275</xdr:colOff>
      <xdr:row>23</xdr:row>
      <xdr:rowOff>66676</xdr:rowOff>
    </xdr:to>
    <xdr:sp macro="" textlink="">
      <xdr:nvSpPr>
        <xdr:cNvPr id="4" name="Ellipse 3"/>
        <xdr:cNvSpPr/>
      </xdr:nvSpPr>
      <xdr:spPr bwMode="auto">
        <a:xfrm>
          <a:off x="561975" y="3343276"/>
          <a:ext cx="619125" cy="26670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1247775</xdr:colOff>
      <xdr:row>25</xdr:row>
      <xdr:rowOff>85725</xdr:rowOff>
    </xdr:from>
    <xdr:to>
      <xdr:col>2</xdr:col>
      <xdr:colOff>142875</xdr:colOff>
      <xdr:row>27</xdr:row>
      <xdr:rowOff>47625</xdr:rowOff>
    </xdr:to>
    <xdr:sp macro="" textlink="">
      <xdr:nvSpPr>
        <xdr:cNvPr id="5" name="Ellipse 4"/>
        <xdr:cNvSpPr/>
      </xdr:nvSpPr>
      <xdr:spPr bwMode="auto">
        <a:xfrm>
          <a:off x="1371600" y="4038600"/>
          <a:ext cx="600075" cy="285750"/>
        </a:xfrm>
        <a:prstGeom prst="ellipse">
          <a:avLst/>
        </a:prstGeom>
        <a:noFill/>
        <a:ln w="31750" cap="flat" cmpd="sng" algn="ctr">
          <a:solidFill>
            <a:srgbClr val="2CAD1B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495300</xdr:colOff>
      <xdr:row>0</xdr:row>
      <xdr:rowOff>66675</xdr:rowOff>
    </xdr:from>
    <xdr:to>
      <xdr:col>11</xdr:col>
      <xdr:colOff>476250</xdr:colOff>
      <xdr:row>2</xdr:row>
      <xdr:rowOff>104775</xdr:rowOff>
    </xdr:to>
    <xdr:sp macro="" textlink="">
      <xdr:nvSpPr>
        <xdr:cNvPr id="6" name="Ellipse 5"/>
        <xdr:cNvSpPr/>
      </xdr:nvSpPr>
      <xdr:spPr bwMode="auto">
        <a:xfrm>
          <a:off x="6534150" y="66675"/>
          <a:ext cx="1390650" cy="428625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38100</xdr:colOff>
      <xdr:row>19</xdr:row>
      <xdr:rowOff>57150</xdr:rowOff>
    </xdr:from>
    <xdr:to>
      <xdr:col>17</xdr:col>
      <xdr:colOff>666750</xdr:colOff>
      <xdr:row>34</xdr:row>
      <xdr:rowOff>19050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38099</xdr:colOff>
      <xdr:row>2</xdr:row>
      <xdr:rowOff>228601</xdr:rowOff>
    </xdr:from>
    <xdr:to>
      <xdr:col>17</xdr:col>
      <xdr:colOff>657224</xdr:colOff>
      <xdr:row>19</xdr:row>
      <xdr:rowOff>38101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4</xdr:row>
      <xdr:rowOff>76200</xdr:rowOff>
    </xdr:from>
    <xdr:to>
      <xdr:col>5</xdr:col>
      <xdr:colOff>866776</xdr:colOff>
      <xdr:row>6</xdr:row>
      <xdr:rowOff>76200</xdr:rowOff>
    </xdr:to>
    <xdr:sp macro="" textlink="">
      <xdr:nvSpPr>
        <xdr:cNvPr id="2" name="Ellipse 1"/>
        <xdr:cNvSpPr/>
      </xdr:nvSpPr>
      <xdr:spPr bwMode="auto">
        <a:xfrm>
          <a:off x="3429000" y="790575"/>
          <a:ext cx="885826" cy="409575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723900</xdr:colOff>
      <xdr:row>5</xdr:row>
      <xdr:rowOff>190500</xdr:rowOff>
    </xdr:from>
    <xdr:to>
      <xdr:col>13</xdr:col>
      <xdr:colOff>95250</xdr:colOff>
      <xdr:row>7</xdr:row>
      <xdr:rowOff>95250</xdr:rowOff>
    </xdr:to>
    <xdr:sp macro="" textlink="">
      <xdr:nvSpPr>
        <xdr:cNvPr id="3" name="Ellipse 2"/>
        <xdr:cNvSpPr/>
      </xdr:nvSpPr>
      <xdr:spPr bwMode="auto">
        <a:xfrm>
          <a:off x="7896225" y="1076325"/>
          <a:ext cx="885825" cy="390525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5</xdr:row>
      <xdr:rowOff>19050</xdr:rowOff>
    </xdr:from>
    <xdr:to>
      <xdr:col>8</xdr:col>
      <xdr:colOff>219075</xdr:colOff>
      <xdr:row>7</xdr:row>
      <xdr:rowOff>47625</xdr:rowOff>
    </xdr:to>
    <xdr:sp macro="" textlink="">
      <xdr:nvSpPr>
        <xdr:cNvPr id="2" name="Accolade fermante 1"/>
        <xdr:cNvSpPr/>
      </xdr:nvSpPr>
      <xdr:spPr bwMode="auto">
        <a:xfrm>
          <a:off x="6210300" y="1009650"/>
          <a:ext cx="133350" cy="409575"/>
        </a:xfrm>
        <a:prstGeom prst="rightBrace">
          <a:avLst/>
        </a:prstGeom>
        <a:noFill/>
        <a:ln w="222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495300</xdr:colOff>
      <xdr:row>0</xdr:row>
      <xdr:rowOff>66675</xdr:rowOff>
    </xdr:from>
    <xdr:to>
      <xdr:col>6</xdr:col>
      <xdr:colOff>962025</xdr:colOff>
      <xdr:row>2</xdr:row>
      <xdr:rowOff>104775</xdr:rowOff>
    </xdr:to>
    <xdr:sp macro="" textlink="">
      <xdr:nvSpPr>
        <xdr:cNvPr id="3" name="Ellipse 2"/>
        <xdr:cNvSpPr/>
      </xdr:nvSpPr>
      <xdr:spPr bwMode="auto">
        <a:xfrm>
          <a:off x="4314825" y="66675"/>
          <a:ext cx="1562100" cy="428625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314326</xdr:colOff>
      <xdr:row>6</xdr:row>
      <xdr:rowOff>9525</xdr:rowOff>
    </xdr:from>
    <xdr:to>
      <xdr:col>13</xdr:col>
      <xdr:colOff>714376</xdr:colOff>
      <xdr:row>8</xdr:row>
      <xdr:rowOff>19050</xdr:rowOff>
    </xdr:to>
    <xdr:sp macro="" textlink="">
      <xdr:nvSpPr>
        <xdr:cNvPr id="4" name="Rectangle 3"/>
        <xdr:cNvSpPr/>
      </xdr:nvSpPr>
      <xdr:spPr bwMode="auto">
        <a:xfrm>
          <a:off x="6981826" y="1190625"/>
          <a:ext cx="3448050" cy="400050"/>
        </a:xfrm>
        <a:prstGeom prst="rect">
          <a:avLst/>
        </a:prstGeom>
        <a:noFill/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100" b="1"/>
            <a:t>L'accroissement du BFR est retranché du cash flow.</a:t>
          </a:r>
        </a:p>
        <a:p>
          <a:pPr algn="ctr"/>
          <a:r>
            <a:rPr lang="fr-FR" sz="1100" b="1"/>
            <a:t>La diminution du BFR est ajoutée au cash flow.</a:t>
          </a:r>
        </a:p>
        <a:p>
          <a:pPr algn="ctr"/>
          <a:endParaRPr lang="fr-FR" sz="1100"/>
        </a:p>
      </xdr:txBody>
    </xdr:sp>
    <xdr:clientData/>
  </xdr:twoCellAnchor>
  <xdr:twoCellAnchor>
    <xdr:from>
      <xdr:col>7</xdr:col>
      <xdr:colOff>76202</xdr:colOff>
      <xdr:row>7</xdr:row>
      <xdr:rowOff>19050</xdr:rowOff>
    </xdr:from>
    <xdr:to>
      <xdr:col>9</xdr:col>
      <xdr:colOff>314326</xdr:colOff>
      <xdr:row>7</xdr:row>
      <xdr:rowOff>114300</xdr:rowOff>
    </xdr:to>
    <xdr:cxnSp macro="">
      <xdr:nvCxnSpPr>
        <xdr:cNvPr id="6" name="Connecteur droit avec flèche 5"/>
        <xdr:cNvCxnSpPr>
          <a:stCxn id="4" idx="1"/>
        </xdr:cNvCxnSpPr>
      </xdr:nvCxnSpPr>
      <xdr:spPr bwMode="auto">
        <a:xfrm flipH="1">
          <a:off x="6210302" y="1390650"/>
          <a:ext cx="771524" cy="95250"/>
        </a:xfrm>
        <a:prstGeom prst="straightConnector1">
          <a:avLst/>
        </a:prstGeom>
        <a:solidFill>
          <a:srgbClr val="090000"/>
        </a:solidFill>
        <a:ln w="31750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304802</xdr:colOff>
      <xdr:row>4</xdr:row>
      <xdr:rowOff>66675</xdr:rowOff>
    </xdr:from>
    <xdr:to>
      <xdr:col>10</xdr:col>
      <xdr:colOff>676276</xdr:colOff>
      <xdr:row>5</xdr:row>
      <xdr:rowOff>76200</xdr:rowOff>
    </xdr:to>
    <xdr:sp macro="" textlink="">
      <xdr:nvSpPr>
        <xdr:cNvPr id="7" name="Rectangle 6"/>
        <xdr:cNvSpPr/>
      </xdr:nvSpPr>
      <xdr:spPr bwMode="auto">
        <a:xfrm>
          <a:off x="6972302" y="857250"/>
          <a:ext cx="1133474" cy="209550"/>
        </a:xfrm>
        <a:prstGeom prst="rect">
          <a:avLst/>
        </a:prstGeom>
        <a:noFill/>
        <a:ln w="317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100" b="1"/>
            <a:t>Cash flow</a:t>
          </a:r>
        </a:p>
      </xdr:txBody>
    </xdr:sp>
    <xdr:clientData/>
  </xdr:twoCellAnchor>
  <xdr:twoCellAnchor>
    <xdr:from>
      <xdr:col>8</xdr:col>
      <xdr:colOff>219075</xdr:colOff>
      <xdr:row>4</xdr:row>
      <xdr:rowOff>171450</xdr:rowOff>
    </xdr:from>
    <xdr:to>
      <xdr:col>9</xdr:col>
      <xdr:colOff>304802</xdr:colOff>
      <xdr:row>6</xdr:row>
      <xdr:rowOff>33338</xdr:rowOff>
    </xdr:to>
    <xdr:cxnSp macro="">
      <xdr:nvCxnSpPr>
        <xdr:cNvPr id="8" name="Connecteur droit avec flèche 7"/>
        <xdr:cNvCxnSpPr>
          <a:stCxn id="7" idx="1"/>
          <a:endCxn id="2" idx="1"/>
        </xdr:cNvCxnSpPr>
      </xdr:nvCxnSpPr>
      <xdr:spPr bwMode="auto">
        <a:xfrm flipH="1">
          <a:off x="6610350" y="962025"/>
          <a:ext cx="361952" cy="252413"/>
        </a:xfrm>
        <a:prstGeom prst="straightConnector1">
          <a:avLst/>
        </a:prstGeom>
        <a:solidFill>
          <a:srgbClr val="090000"/>
        </a:solidFill>
        <a:ln w="31750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142875</xdr:colOff>
      <xdr:row>9</xdr:row>
      <xdr:rowOff>28575</xdr:rowOff>
    </xdr:from>
    <xdr:to>
      <xdr:col>16</xdr:col>
      <xdr:colOff>85725</xdr:colOff>
      <xdr:row>23</xdr:row>
      <xdr:rowOff>0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P18"/>
  <sheetViews>
    <sheetView showGridLines="0" tabSelected="1" workbookViewId="0">
      <selection activeCell="H16" sqref="H16"/>
    </sheetView>
  </sheetViews>
  <sheetFormatPr baseColWidth="10" defaultRowHeight="12.75"/>
  <cols>
    <col min="1" max="1" width="2.85546875" customWidth="1"/>
    <col min="6" max="6" width="13.42578125" customWidth="1"/>
  </cols>
  <sheetData>
    <row r="1" spans="1:16" ht="26.25">
      <c r="A1" s="350" t="s">
        <v>137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ht="20.25">
      <c r="A2" s="74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ht="20.25">
      <c r="A3" s="75"/>
      <c r="B3" s="75" t="s">
        <v>132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ht="20.25">
      <c r="A4" s="75"/>
      <c r="B4" s="75" t="s">
        <v>73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6" ht="2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6" ht="21" thickBot="1">
      <c r="A6" s="74" t="s">
        <v>74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6" ht="21" thickBot="1">
      <c r="A7" s="75"/>
      <c r="B7" s="75" t="s">
        <v>75</v>
      </c>
      <c r="C7" s="75"/>
      <c r="D7" s="75"/>
      <c r="E7" s="75"/>
      <c r="F7" s="75"/>
      <c r="G7" s="76"/>
      <c r="H7" s="77"/>
      <c r="I7" s="75" t="s">
        <v>84</v>
      </c>
      <c r="J7" s="75"/>
      <c r="K7" s="75"/>
      <c r="L7" s="75"/>
      <c r="M7" s="75"/>
      <c r="N7" s="75"/>
      <c r="O7" s="75"/>
    </row>
    <row r="8" spans="1:16" ht="21" thickBot="1">
      <c r="A8" s="75"/>
      <c r="B8" s="75" t="s">
        <v>76</v>
      </c>
      <c r="C8" s="75"/>
      <c r="D8" s="75"/>
      <c r="E8" s="75"/>
      <c r="F8" s="75"/>
      <c r="G8" s="78"/>
      <c r="H8" s="75"/>
      <c r="I8" s="75" t="s">
        <v>107</v>
      </c>
      <c r="J8" s="75"/>
      <c r="L8" s="75"/>
      <c r="M8" s="81"/>
      <c r="N8" s="75"/>
      <c r="O8" s="75"/>
    </row>
    <row r="9" spans="1:16" ht="21" thickBot="1">
      <c r="A9" s="75"/>
      <c r="B9" s="75" t="s">
        <v>77</v>
      </c>
      <c r="C9" s="75"/>
      <c r="D9" s="75"/>
      <c r="E9" s="75"/>
      <c r="F9" s="75"/>
      <c r="G9" s="79"/>
      <c r="H9" s="75"/>
      <c r="I9" s="75"/>
      <c r="J9" s="75"/>
      <c r="K9" s="75"/>
      <c r="L9" s="75"/>
      <c r="M9" s="75"/>
      <c r="N9" s="75"/>
      <c r="O9" s="75"/>
    </row>
    <row r="10" spans="1:16" ht="2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6" ht="20.25">
      <c r="A11" s="74" t="s">
        <v>82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6" ht="20.25">
      <c r="A12" s="75"/>
      <c r="B12" s="75" t="s">
        <v>81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6" ht="20.25">
      <c r="A13" s="75"/>
      <c r="B13" s="75" t="s">
        <v>105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6" ht="20.25">
      <c r="A14" s="75"/>
      <c r="B14" s="75" t="s">
        <v>83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6" ht="2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6" ht="20.25">
      <c r="A16" s="74" t="s">
        <v>78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0.25">
      <c r="A17" s="75"/>
      <c r="B17" s="75" t="s">
        <v>79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20.25">
      <c r="A18" s="75"/>
      <c r="B18" s="75" t="s">
        <v>80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</sheetData>
  <sheetProtection sheet="1" objects="1" scenarios="1"/>
  <mergeCells count="1">
    <mergeCell ref="A1:P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W63"/>
  <sheetViews>
    <sheetView showGridLines="0" topLeftCell="A4" workbookViewId="0">
      <selection activeCell="S40" sqref="S40"/>
    </sheetView>
  </sheetViews>
  <sheetFormatPr baseColWidth="10" defaultRowHeight="12.75"/>
  <cols>
    <col min="1" max="1" width="3" customWidth="1"/>
    <col min="2" max="2" width="3.42578125" customWidth="1"/>
    <col min="3" max="3" width="9.42578125" customWidth="1"/>
    <col min="6" max="6" width="12.42578125" customWidth="1"/>
    <col min="9" max="10" width="9.28515625" bestFit="1" customWidth="1"/>
    <col min="11" max="11" width="4.7109375" customWidth="1"/>
    <col min="12" max="12" width="12.85546875" style="9" customWidth="1"/>
    <col min="16" max="16" width="13.28515625" customWidth="1"/>
    <col min="17" max="17" width="12.85546875" customWidth="1"/>
  </cols>
  <sheetData>
    <row r="1" spans="1:23" ht="15.75">
      <c r="A1" s="4"/>
      <c r="B1" s="365" t="s">
        <v>28</v>
      </c>
      <c r="C1" s="365"/>
      <c r="D1" s="365"/>
      <c r="E1" s="365"/>
      <c r="F1" s="365"/>
      <c r="G1" s="365"/>
      <c r="H1" s="365"/>
      <c r="I1" s="365"/>
      <c r="J1" s="365"/>
      <c r="K1" s="365"/>
      <c r="L1" s="8"/>
      <c r="M1" s="4"/>
      <c r="N1" s="4"/>
      <c r="O1" s="4"/>
      <c r="P1" s="4"/>
      <c r="Q1" s="4"/>
    </row>
    <row r="2" spans="1:23" ht="15" customHeight="1">
      <c r="A2" s="4"/>
      <c r="B2" s="29" t="s">
        <v>125</v>
      </c>
      <c r="C2" s="4"/>
      <c r="D2" s="22"/>
      <c r="E2" s="22"/>
      <c r="F2" s="22"/>
      <c r="G2" s="168"/>
      <c r="H2" s="191"/>
      <c r="I2" s="97"/>
      <c r="J2" s="18" t="s">
        <v>126</v>
      </c>
      <c r="K2" s="22"/>
      <c r="L2" s="18"/>
      <c r="M2" s="4"/>
      <c r="N2" s="4"/>
      <c r="O2" s="4"/>
      <c r="P2" s="168"/>
      <c r="Q2" s="195"/>
      <c r="R2" s="194"/>
      <c r="S2" s="187"/>
    </row>
    <row r="3" spans="1:23" ht="15" customHeight="1">
      <c r="A3" s="4"/>
      <c r="B3" s="29" t="s">
        <v>118</v>
      </c>
      <c r="C3" s="4"/>
      <c r="D3" s="22"/>
      <c r="E3" s="22"/>
      <c r="F3" s="22"/>
      <c r="G3" s="168"/>
      <c r="H3" s="192"/>
      <c r="I3" s="97"/>
      <c r="J3" s="97" t="s">
        <v>134</v>
      </c>
      <c r="K3" s="22"/>
      <c r="L3" s="8"/>
      <c r="M3" s="4"/>
      <c r="N3" s="4"/>
      <c r="O3" s="4"/>
      <c r="P3" s="168"/>
      <c r="Q3" s="188"/>
      <c r="R3" s="144"/>
    </row>
    <row r="4" spans="1:23" ht="15.75">
      <c r="A4" s="4"/>
      <c r="B4" s="30" t="s">
        <v>119</v>
      </c>
      <c r="C4" s="4"/>
      <c r="D4" s="4"/>
      <c r="E4" s="4"/>
      <c r="F4" s="4"/>
      <c r="G4" s="28"/>
      <c r="H4" s="191"/>
      <c r="I4" s="97"/>
      <c r="J4" s="97" t="s">
        <v>129</v>
      </c>
      <c r="K4" s="4"/>
      <c r="L4" s="8"/>
      <c r="M4" s="4"/>
      <c r="N4" s="4"/>
      <c r="O4" s="4"/>
      <c r="P4" s="168"/>
      <c r="Q4" s="188"/>
      <c r="R4" s="144"/>
    </row>
    <row r="5" spans="1:23" ht="15.75">
      <c r="A5" s="4"/>
      <c r="B5" s="97" t="s">
        <v>120</v>
      </c>
      <c r="C5" s="4"/>
      <c r="D5" s="4"/>
      <c r="E5" s="4"/>
      <c r="F5" s="4"/>
      <c r="G5" s="169"/>
      <c r="H5" s="193"/>
      <c r="I5" s="97"/>
      <c r="J5" s="18"/>
      <c r="K5" s="4"/>
      <c r="L5" s="8"/>
      <c r="M5" s="4"/>
      <c r="N5" s="4"/>
      <c r="O5" s="4"/>
      <c r="P5" s="168"/>
      <c r="Q5" s="188"/>
      <c r="R5" s="144"/>
    </row>
    <row r="6" spans="1:23" ht="15.75">
      <c r="A6" s="4"/>
      <c r="C6" s="4"/>
      <c r="D6" s="4"/>
      <c r="E6" s="4"/>
      <c r="F6" s="4"/>
      <c r="G6" s="20"/>
      <c r="H6" s="4"/>
      <c r="I6" s="140"/>
      <c r="J6" s="4"/>
      <c r="K6" s="20"/>
      <c r="L6" s="8"/>
      <c r="M6" s="4"/>
      <c r="N6" s="4"/>
      <c r="O6" s="4"/>
      <c r="P6" s="168"/>
      <c r="Q6" s="188"/>
      <c r="R6" s="144"/>
    </row>
    <row r="7" spans="1:23" ht="15.75">
      <c r="A7" s="4"/>
      <c r="B7" s="366" t="s">
        <v>135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</row>
    <row r="8" spans="1:23">
      <c r="A8" s="4"/>
      <c r="B8" s="267" t="s">
        <v>141</v>
      </c>
      <c r="D8" s="4"/>
      <c r="E8" s="4"/>
      <c r="F8" s="148"/>
      <c r="G8" s="268">
        <v>0</v>
      </c>
      <c r="H8" s="269" t="s">
        <v>142</v>
      </c>
      <c r="I8" s="381" t="str">
        <f>LOOKUP(C60,D60:D63,E60:E63)</f>
        <v>trimestre 4</v>
      </c>
      <c r="J8" s="382"/>
      <c r="K8" s="9" t="s">
        <v>147</v>
      </c>
      <c r="N8" s="381" t="str">
        <f>LOOKUP(C61,D60:D63,E60:E63)</f>
        <v>trimestre 1</v>
      </c>
      <c r="O8" s="382"/>
    </row>
    <row r="9" spans="1:23" ht="13.5" thickBot="1">
      <c r="A9" s="4"/>
      <c r="B9" s="4"/>
      <c r="C9" s="101"/>
      <c r="D9" s="4"/>
      <c r="E9" s="147"/>
      <c r="F9" s="148"/>
      <c r="G9" s="147"/>
      <c r="H9" s="4"/>
      <c r="I9" s="4"/>
      <c r="J9" s="4"/>
      <c r="K9" s="20"/>
    </row>
    <row r="10" spans="1:23" ht="19.5" thickTop="1" thickBot="1">
      <c r="A10" s="4"/>
      <c r="B10" s="368" t="s">
        <v>117</v>
      </c>
      <c r="C10" s="369"/>
      <c r="D10" s="369"/>
      <c r="E10" s="369"/>
      <c r="F10" s="369"/>
      <c r="G10" s="369"/>
      <c r="H10" s="369"/>
      <c r="I10" s="369"/>
      <c r="J10" s="370"/>
      <c r="K10" s="20"/>
      <c r="L10" s="378" t="s">
        <v>128</v>
      </c>
      <c r="M10" s="379"/>
      <c r="N10" s="379"/>
      <c r="O10" s="379"/>
      <c r="P10" s="379"/>
      <c r="Q10" s="380"/>
    </row>
    <row r="11" spans="1:23" ht="13.5" thickTop="1">
      <c r="A11" s="4"/>
      <c r="B11" s="24"/>
      <c r="C11" s="25" t="s">
        <v>21</v>
      </c>
      <c r="D11" s="26"/>
      <c r="E11" s="26"/>
      <c r="F11" s="26"/>
      <c r="G11" s="27" t="s">
        <v>3</v>
      </c>
      <c r="H11" s="27" t="s">
        <v>4</v>
      </c>
      <c r="I11" s="64"/>
      <c r="J11" s="136"/>
      <c r="K11" s="123"/>
      <c r="L11" s="106" t="s">
        <v>165</v>
      </c>
      <c r="M11" s="115"/>
      <c r="N11" s="107"/>
      <c r="O11" s="107"/>
      <c r="P11" s="108"/>
      <c r="Q11" s="116"/>
      <c r="R11" s="112"/>
      <c r="S11" s="34"/>
      <c r="T11" s="34"/>
      <c r="U11" s="34"/>
      <c r="V11" s="110"/>
      <c r="W11" s="110"/>
    </row>
    <row r="12" spans="1:23" ht="13.5" thickBot="1">
      <c r="A12" s="4"/>
      <c r="B12" s="19"/>
      <c r="C12" s="20"/>
      <c r="D12" s="146" t="s">
        <v>116</v>
      </c>
      <c r="E12" s="20"/>
      <c r="F12" s="20"/>
      <c r="G12" s="71">
        <v>5200</v>
      </c>
      <c r="H12" s="71">
        <v>2150</v>
      </c>
      <c r="I12" s="21"/>
      <c r="J12" s="137"/>
      <c r="K12" s="123"/>
      <c r="L12" s="31"/>
      <c r="M12" s="35" t="s">
        <v>35</v>
      </c>
      <c r="N12" s="82"/>
      <c r="O12" s="149">
        <v>5</v>
      </c>
      <c r="P12" s="59"/>
      <c r="Q12" s="61"/>
      <c r="R12" s="112"/>
      <c r="S12" s="34"/>
      <c r="T12" s="34"/>
      <c r="U12" s="34"/>
      <c r="V12" s="113"/>
      <c r="W12" s="34"/>
    </row>
    <row r="13" spans="1:23" ht="14.25" thickTop="1" thickBot="1">
      <c r="A13" s="4"/>
      <c r="B13" s="156"/>
      <c r="C13" s="157"/>
      <c r="D13" s="158"/>
      <c r="E13" s="157"/>
      <c r="F13" s="157"/>
      <c r="G13" s="159"/>
      <c r="H13" s="159"/>
      <c r="I13" s="160"/>
      <c r="J13" s="161"/>
      <c r="K13" s="123"/>
      <c r="L13" s="31"/>
      <c r="M13" s="35" t="s">
        <v>6</v>
      </c>
      <c r="N13" s="84"/>
      <c r="O13" s="149">
        <v>6</v>
      </c>
      <c r="P13" s="59"/>
      <c r="Q13" s="61"/>
      <c r="R13" s="112"/>
      <c r="S13" s="34"/>
      <c r="T13" s="34"/>
      <c r="U13" s="34"/>
      <c r="V13" s="113"/>
      <c r="W13" s="34"/>
    </row>
    <row r="14" spans="1:23" ht="13.5" thickTop="1">
      <c r="A14" s="4"/>
      <c r="B14" s="151"/>
      <c r="C14" s="152" t="s">
        <v>22</v>
      </c>
      <c r="D14" s="153"/>
      <c r="E14" s="153"/>
      <c r="F14" s="153"/>
      <c r="G14" s="154" t="s">
        <v>13</v>
      </c>
      <c r="H14" s="154" t="s">
        <v>14</v>
      </c>
      <c r="I14" s="154" t="s">
        <v>15</v>
      </c>
      <c r="J14" s="155"/>
      <c r="K14" s="123"/>
      <c r="L14" s="106" t="s">
        <v>34</v>
      </c>
      <c r="M14" s="115"/>
      <c r="N14" s="107" t="s">
        <v>41</v>
      </c>
      <c r="O14" s="107" t="s">
        <v>42</v>
      </c>
      <c r="P14" s="108" t="s">
        <v>64</v>
      </c>
      <c r="Q14" s="116" t="s">
        <v>65</v>
      </c>
      <c r="R14" s="112"/>
      <c r="S14" s="34"/>
      <c r="T14" s="34"/>
      <c r="U14" s="34"/>
      <c r="V14" s="113"/>
      <c r="W14" s="34"/>
    </row>
    <row r="15" spans="1:23">
      <c r="A15" s="4"/>
      <c r="B15" s="19"/>
      <c r="C15" s="20"/>
      <c r="D15" s="28" t="s">
        <v>59</v>
      </c>
      <c r="E15" s="20"/>
      <c r="F15" s="20"/>
      <c r="G15" s="58">
        <v>0.2</v>
      </c>
      <c r="H15" s="58">
        <v>0.4</v>
      </c>
      <c r="I15" s="58">
        <v>1</v>
      </c>
      <c r="J15" s="121"/>
      <c r="K15" s="123"/>
      <c r="L15" s="31"/>
      <c r="M15" s="35" t="s">
        <v>35</v>
      </c>
      <c r="N15" s="245">
        <v>0</v>
      </c>
      <c r="O15" s="60">
        <v>100000</v>
      </c>
      <c r="P15" s="59">
        <f>N15*O15</f>
        <v>0</v>
      </c>
      <c r="Q15" s="63">
        <v>50</v>
      </c>
      <c r="R15" s="112"/>
      <c r="S15" s="34"/>
      <c r="T15" s="34"/>
      <c r="U15" s="34"/>
      <c r="V15" s="111"/>
      <c r="W15" s="111"/>
    </row>
    <row r="16" spans="1:23" ht="14.25">
      <c r="A16" s="4"/>
      <c r="B16" s="19"/>
      <c r="C16" s="20"/>
      <c r="D16" s="28" t="s">
        <v>58</v>
      </c>
      <c r="E16" s="20"/>
      <c r="F16" s="20"/>
      <c r="G16" s="58">
        <v>0.1</v>
      </c>
      <c r="H16" s="58">
        <v>0.2</v>
      </c>
      <c r="I16" s="58">
        <v>0.5</v>
      </c>
      <c r="J16" s="121"/>
      <c r="K16" s="123"/>
      <c r="L16" s="31"/>
      <c r="M16" s="35" t="s">
        <v>6</v>
      </c>
      <c r="N16" s="245">
        <v>0</v>
      </c>
      <c r="O16" s="60">
        <v>100000</v>
      </c>
      <c r="P16" s="59">
        <f>N16*O16</f>
        <v>0</v>
      </c>
      <c r="Q16" s="63">
        <v>70</v>
      </c>
      <c r="R16" s="112"/>
      <c r="S16" s="34"/>
      <c r="T16" s="34"/>
      <c r="U16" s="34"/>
      <c r="V16" s="113"/>
      <c r="W16" s="113"/>
    </row>
    <row r="17" spans="1:23">
      <c r="A17" s="4"/>
      <c r="B17" s="19"/>
      <c r="C17" s="20"/>
      <c r="D17" s="28" t="s">
        <v>60</v>
      </c>
      <c r="E17" s="20"/>
      <c r="F17" s="20"/>
      <c r="G17" s="58">
        <v>8</v>
      </c>
      <c r="H17" s="58">
        <v>12</v>
      </c>
      <c r="I17" s="58">
        <v>28</v>
      </c>
      <c r="J17" s="121"/>
      <c r="K17" s="123"/>
      <c r="L17" s="65" t="s">
        <v>36</v>
      </c>
      <c r="M17" s="68"/>
      <c r="N17" s="150" t="s">
        <v>41</v>
      </c>
      <c r="O17" s="66" t="s">
        <v>42</v>
      </c>
      <c r="P17" s="67" t="s">
        <v>67</v>
      </c>
      <c r="Q17" s="69"/>
      <c r="R17" s="112"/>
      <c r="S17" s="34"/>
      <c r="T17" s="34"/>
      <c r="U17" s="34"/>
      <c r="V17" s="113"/>
      <c r="W17" s="113"/>
    </row>
    <row r="18" spans="1:23" ht="13.5" thickBot="1">
      <c r="A18" s="4"/>
      <c r="B18" s="19"/>
      <c r="C18" s="20"/>
      <c r="D18" s="28" t="s">
        <v>61</v>
      </c>
      <c r="E18" s="20"/>
      <c r="F18" s="20"/>
      <c r="G18" s="58">
        <v>10</v>
      </c>
      <c r="H18" s="58">
        <v>14</v>
      </c>
      <c r="I18" s="58">
        <v>28</v>
      </c>
      <c r="J18" s="121"/>
      <c r="K18" s="124"/>
      <c r="L18" s="31"/>
      <c r="M18" s="35" t="s">
        <v>35</v>
      </c>
      <c r="N18" s="245">
        <v>0</v>
      </c>
      <c r="O18" s="60">
        <v>25000</v>
      </c>
      <c r="P18" s="59">
        <f>N18*O18</f>
        <v>0</v>
      </c>
      <c r="Q18" s="61"/>
      <c r="R18" s="112"/>
      <c r="S18" s="34"/>
      <c r="T18" s="34"/>
      <c r="U18" s="34"/>
      <c r="V18" s="113"/>
      <c r="W18" s="113"/>
    </row>
    <row r="19" spans="1:23" ht="14.25" thickTop="1" thickBot="1">
      <c r="A19" s="4"/>
      <c r="B19" s="163"/>
      <c r="C19" s="157"/>
      <c r="D19" s="157"/>
      <c r="E19" s="157"/>
      <c r="F19" s="157"/>
      <c r="G19" s="164"/>
      <c r="H19" s="164"/>
      <c r="I19" s="164"/>
      <c r="J19" s="165"/>
      <c r="K19" s="124"/>
      <c r="L19" s="117"/>
      <c r="M19" s="118" t="s">
        <v>6</v>
      </c>
      <c r="N19" s="246">
        <v>0</v>
      </c>
      <c r="O19" s="119">
        <v>25000</v>
      </c>
      <c r="P19" s="84">
        <f>N19*O19</f>
        <v>0</v>
      </c>
      <c r="Q19" s="85"/>
      <c r="R19" s="112"/>
      <c r="S19" s="34"/>
      <c r="T19" s="34"/>
      <c r="U19" s="34"/>
      <c r="V19" s="113"/>
      <c r="W19" s="113"/>
    </row>
    <row r="20" spans="1:23" ht="13.5" thickTop="1">
      <c r="A20" s="4"/>
      <c r="B20" s="151"/>
      <c r="C20" s="152" t="s">
        <v>23</v>
      </c>
      <c r="D20" s="153"/>
      <c r="E20" s="153"/>
      <c r="F20" s="153"/>
      <c r="G20" s="154" t="s">
        <v>166</v>
      </c>
      <c r="H20" s="154" t="s">
        <v>167</v>
      </c>
      <c r="I20" s="154" t="s">
        <v>168</v>
      </c>
      <c r="J20" s="162" t="s">
        <v>136</v>
      </c>
      <c r="K20" s="124"/>
      <c r="R20" s="112"/>
      <c r="S20" s="34"/>
      <c r="T20" s="34"/>
      <c r="U20" s="34"/>
      <c r="V20" s="113"/>
      <c r="W20" s="113"/>
    </row>
    <row r="21" spans="1:23">
      <c r="A21" s="4"/>
      <c r="B21" s="19"/>
      <c r="C21" s="20"/>
      <c r="D21" s="20" t="s">
        <v>69</v>
      </c>
      <c r="E21" s="20"/>
      <c r="F21" s="20"/>
      <c r="G21" s="80">
        <v>30</v>
      </c>
      <c r="H21" s="80">
        <v>35</v>
      </c>
      <c r="I21" s="80">
        <v>3</v>
      </c>
      <c r="J21" s="121"/>
      <c r="K21" s="19"/>
      <c r="R21" s="112"/>
      <c r="S21" s="34"/>
      <c r="T21" s="34"/>
      <c r="U21" s="34"/>
      <c r="V21" s="113"/>
      <c r="W21" s="113"/>
    </row>
    <row r="22" spans="1:23">
      <c r="A22" s="4"/>
      <c r="B22" s="19"/>
      <c r="C22" s="20"/>
      <c r="D22" s="20" t="s">
        <v>24</v>
      </c>
      <c r="E22" s="20"/>
      <c r="F22" s="20"/>
      <c r="G22" s="72">
        <v>4000</v>
      </c>
      <c r="H22" s="72">
        <v>9000</v>
      </c>
      <c r="I22" s="72">
        <v>25000</v>
      </c>
      <c r="J22" s="121"/>
      <c r="K22" s="19"/>
      <c r="R22" s="112"/>
      <c r="S22" s="34"/>
      <c r="T22" s="34"/>
      <c r="U22" s="34"/>
      <c r="V22" s="34"/>
      <c r="W22" s="34"/>
    </row>
    <row r="23" spans="1:23">
      <c r="A23" s="4"/>
      <c r="B23" s="19"/>
      <c r="C23" s="20"/>
      <c r="D23" s="20" t="s">
        <v>25</v>
      </c>
      <c r="E23" s="20"/>
      <c r="F23" s="20"/>
      <c r="G23" s="59"/>
      <c r="H23" s="59"/>
      <c r="I23" s="59"/>
      <c r="J23" s="122">
        <v>0.03</v>
      </c>
      <c r="K23" s="19"/>
      <c r="R23" s="114"/>
      <c r="S23" s="114"/>
      <c r="T23" s="114"/>
      <c r="U23" s="114"/>
      <c r="V23" s="114"/>
      <c r="W23" s="114"/>
    </row>
    <row r="24" spans="1:23">
      <c r="A24" s="4"/>
      <c r="B24" s="243" t="s">
        <v>133</v>
      </c>
      <c r="C24" s="20"/>
      <c r="D24" s="20" t="s">
        <v>62</v>
      </c>
      <c r="E24" s="20"/>
      <c r="F24" s="20"/>
      <c r="G24" s="72">
        <v>1000</v>
      </c>
      <c r="H24" s="72">
        <v>1200</v>
      </c>
      <c r="I24" s="72">
        <v>5000</v>
      </c>
      <c r="J24" s="166">
        <v>17000</v>
      </c>
      <c r="K24" s="19"/>
    </row>
    <row r="25" spans="1:23">
      <c r="A25" s="4"/>
      <c r="B25" s="102"/>
      <c r="C25" s="20"/>
      <c r="D25" s="138" t="s">
        <v>85</v>
      </c>
      <c r="E25" s="103"/>
      <c r="F25" s="103"/>
      <c r="G25" s="59"/>
      <c r="H25" s="59"/>
      <c r="I25" s="59"/>
      <c r="J25" s="167"/>
      <c r="K25" s="19"/>
      <c r="L25" s="23"/>
      <c r="M25" s="55"/>
      <c r="N25" s="55"/>
      <c r="O25" s="55"/>
      <c r="P25" s="111"/>
      <c r="Q25" s="120"/>
    </row>
    <row r="26" spans="1:23" ht="13.5" thickBot="1">
      <c r="A26" s="4"/>
      <c r="B26" s="102"/>
      <c r="C26" s="20"/>
      <c r="D26" s="146" t="s">
        <v>122</v>
      </c>
      <c r="E26" s="103"/>
      <c r="F26" s="103"/>
      <c r="G26" s="60">
        <v>0.5</v>
      </c>
      <c r="H26" s="60">
        <v>0.5</v>
      </c>
      <c r="I26" s="60">
        <v>0.5</v>
      </c>
      <c r="J26" s="170"/>
      <c r="K26" s="19"/>
      <c r="L26" s="23"/>
      <c r="M26" s="55"/>
      <c r="N26" s="55"/>
      <c r="O26" s="55"/>
      <c r="P26" s="111"/>
      <c r="Q26" s="120"/>
      <c r="R26" s="103"/>
    </row>
    <row r="27" spans="1:23" ht="14.25" thickTop="1" thickBot="1">
      <c r="A27" s="4"/>
      <c r="B27" s="171"/>
      <c r="C27" s="157"/>
      <c r="D27" s="172"/>
      <c r="E27" s="173"/>
      <c r="F27" s="173"/>
      <c r="G27" s="174"/>
      <c r="H27" s="174"/>
      <c r="I27" s="174"/>
      <c r="J27" s="175"/>
      <c r="K27" s="19"/>
      <c r="L27" s="112"/>
      <c r="M27" s="34"/>
      <c r="N27" s="34"/>
      <c r="O27" s="34"/>
      <c r="P27" s="111"/>
      <c r="Q27" s="111"/>
    </row>
    <row r="28" spans="1:23" ht="13.5" customHeight="1" thickTop="1">
      <c r="A28" s="4"/>
      <c r="B28" s="176"/>
      <c r="C28" s="177" t="s">
        <v>124</v>
      </c>
      <c r="D28" s="178"/>
      <c r="E28" s="179"/>
      <c r="F28" s="180"/>
      <c r="G28" s="360" t="s">
        <v>121</v>
      </c>
      <c r="H28" s="371"/>
      <c r="I28" s="360" t="s">
        <v>121</v>
      </c>
      <c r="J28" s="361"/>
      <c r="K28" s="19"/>
      <c r="L28" s="372" t="s">
        <v>127</v>
      </c>
      <c r="M28" s="373"/>
      <c r="N28" s="373"/>
      <c r="O28" s="373"/>
      <c r="P28" s="373"/>
      <c r="Q28" s="374"/>
    </row>
    <row r="29" spans="1:23" ht="13.5" customHeight="1" thickBot="1">
      <c r="A29" s="4"/>
      <c r="B29" s="102"/>
      <c r="C29" s="103"/>
      <c r="D29" s="20"/>
      <c r="E29" s="103"/>
      <c r="F29" s="184"/>
      <c r="G29" s="362" t="s">
        <v>122</v>
      </c>
      <c r="H29" s="359"/>
      <c r="I29" s="362" t="s">
        <v>123</v>
      </c>
      <c r="J29" s="353"/>
      <c r="K29" s="19"/>
      <c r="L29" s="375"/>
      <c r="M29" s="376"/>
      <c r="N29" s="376"/>
      <c r="O29" s="376"/>
      <c r="P29" s="376"/>
      <c r="Q29" s="377"/>
    </row>
    <row r="30" spans="1:23" ht="18.75" thickTop="1">
      <c r="A30" s="4"/>
      <c r="B30" s="185" t="s">
        <v>102</v>
      </c>
      <c r="C30" s="186"/>
      <c r="D30" s="186"/>
      <c r="E30" s="186"/>
      <c r="F30" s="186"/>
      <c r="G30" s="363"/>
      <c r="H30" s="383"/>
      <c r="I30" s="363"/>
      <c r="J30" s="364"/>
      <c r="K30" s="20"/>
      <c r="L30" s="106" t="s">
        <v>29</v>
      </c>
      <c r="M30" s="126"/>
      <c r="N30" s="127"/>
      <c r="O30" s="128"/>
      <c r="P30" s="108"/>
      <c r="Q30" s="109"/>
    </row>
    <row r="31" spans="1:23" ht="18">
      <c r="A31" s="4"/>
      <c r="B31" s="87"/>
      <c r="C31" s="88" t="s">
        <v>94</v>
      </c>
      <c r="D31" s="89"/>
      <c r="E31" s="89"/>
      <c r="F31" s="89"/>
      <c r="G31" s="358">
        <v>29000</v>
      </c>
      <c r="H31" s="359"/>
      <c r="I31" s="357">
        <v>29000</v>
      </c>
      <c r="J31" s="353"/>
      <c r="K31" s="20"/>
      <c r="L31" s="104" t="s">
        <v>114</v>
      </c>
      <c r="M31" s="387" t="s">
        <v>115</v>
      </c>
      <c r="N31" s="388"/>
      <c r="O31" s="389"/>
      <c r="P31" s="60">
        <v>2391712.83</v>
      </c>
      <c r="Q31" s="61"/>
    </row>
    <row r="32" spans="1:23" ht="18">
      <c r="A32" s="4"/>
      <c r="B32" s="87"/>
      <c r="C32" s="88" t="s">
        <v>87</v>
      </c>
      <c r="D32" s="89"/>
      <c r="E32" s="89"/>
      <c r="F32" s="89"/>
      <c r="G32" s="358">
        <v>12000</v>
      </c>
      <c r="H32" s="359"/>
      <c r="I32" s="357">
        <v>12000</v>
      </c>
      <c r="J32" s="353"/>
      <c r="K32" s="20"/>
      <c r="L32" s="141" t="s">
        <v>68</v>
      </c>
      <c r="M32" s="390" t="s">
        <v>37</v>
      </c>
      <c r="N32" s="391"/>
      <c r="O32" s="392"/>
      <c r="P32" s="142">
        <v>0</v>
      </c>
      <c r="Q32" s="83"/>
    </row>
    <row r="33" spans="1:17" ht="18">
      <c r="A33" s="4"/>
      <c r="B33" s="87"/>
      <c r="C33" s="88" t="s">
        <v>88</v>
      </c>
      <c r="D33" s="89"/>
      <c r="E33" s="89"/>
      <c r="F33" s="89"/>
      <c r="G33" s="358">
        <v>1400</v>
      </c>
      <c r="H33" s="359"/>
      <c r="I33" s="357">
        <v>1400</v>
      </c>
      <c r="J33" s="353"/>
      <c r="K33" s="20"/>
      <c r="L33" s="31"/>
      <c r="M33" s="393" t="s">
        <v>38</v>
      </c>
      <c r="N33" s="394"/>
      <c r="O33" s="395"/>
      <c r="P33" s="105">
        <v>0</v>
      </c>
      <c r="Q33" s="61"/>
    </row>
    <row r="34" spans="1:17" ht="18">
      <c r="A34" s="4"/>
      <c r="B34" s="87"/>
      <c r="C34" s="88" t="s">
        <v>89</v>
      </c>
      <c r="D34" s="89"/>
      <c r="E34" s="89"/>
      <c r="F34" s="89"/>
      <c r="G34" s="358">
        <v>5000</v>
      </c>
      <c r="H34" s="359"/>
      <c r="I34" s="357">
        <v>0</v>
      </c>
      <c r="J34" s="353"/>
      <c r="K34" s="181"/>
      <c r="L34" s="31"/>
      <c r="M34" s="393" t="s">
        <v>39</v>
      </c>
      <c r="N34" s="394"/>
      <c r="O34" s="395"/>
      <c r="P34" s="105">
        <v>0</v>
      </c>
      <c r="Q34" s="61"/>
    </row>
    <row r="35" spans="1:17" ht="18.75" thickBot="1">
      <c r="A35" s="4"/>
      <c r="B35" s="87"/>
      <c r="C35" s="88" t="s">
        <v>95</v>
      </c>
      <c r="D35" s="89"/>
      <c r="E35" s="89"/>
      <c r="F35" s="89"/>
      <c r="G35" s="358">
        <v>8000</v>
      </c>
      <c r="H35" s="359"/>
      <c r="I35" s="357">
        <v>8000</v>
      </c>
      <c r="J35" s="353"/>
      <c r="K35" s="20"/>
      <c r="L35" s="117"/>
      <c r="M35" s="384" t="s">
        <v>40</v>
      </c>
      <c r="N35" s="385"/>
      <c r="O35" s="386"/>
      <c r="P35" s="125">
        <v>0</v>
      </c>
      <c r="Q35" s="85"/>
    </row>
    <row r="36" spans="1:17" ht="18.75" thickTop="1">
      <c r="A36" s="4"/>
      <c r="B36" s="87"/>
      <c r="C36" s="88" t="s">
        <v>96</v>
      </c>
      <c r="D36" s="89"/>
      <c r="E36" s="89"/>
      <c r="F36" s="89"/>
      <c r="G36" s="358">
        <v>500</v>
      </c>
      <c r="H36" s="359"/>
      <c r="I36" s="357">
        <v>500</v>
      </c>
      <c r="J36" s="353"/>
      <c r="K36" s="28"/>
      <c r="L36" s="106" t="s">
        <v>106</v>
      </c>
      <c r="M36" s="129"/>
      <c r="N36" s="130"/>
      <c r="O36" s="131"/>
      <c r="P36" s="108" t="s">
        <v>149</v>
      </c>
      <c r="Q36" s="132" t="s">
        <v>66</v>
      </c>
    </row>
    <row r="37" spans="1:17" ht="18">
      <c r="A37" s="4"/>
      <c r="B37" s="87"/>
      <c r="C37" s="88" t="s">
        <v>97</v>
      </c>
      <c r="D37" s="89"/>
      <c r="E37" s="89"/>
      <c r="F37" s="89"/>
      <c r="G37" s="358">
        <v>0</v>
      </c>
      <c r="H37" s="359"/>
      <c r="I37" s="357">
        <v>0</v>
      </c>
      <c r="J37" s="353"/>
      <c r="K37" s="145"/>
      <c r="L37" s="31"/>
      <c r="M37" s="32" t="s">
        <v>43</v>
      </c>
      <c r="N37" s="55"/>
      <c r="O37" s="33"/>
      <c r="P37" s="56">
        <v>144017.39000000001</v>
      </c>
      <c r="Q37" s="57">
        <v>144017.39000000001</v>
      </c>
    </row>
    <row r="38" spans="1:17" ht="18">
      <c r="A38" s="4"/>
      <c r="B38" s="90" t="s">
        <v>90</v>
      </c>
      <c r="C38" s="88"/>
      <c r="D38" s="89"/>
      <c r="E38" s="89"/>
      <c r="F38" s="89"/>
      <c r="G38" s="358">
        <v>3910.5</v>
      </c>
      <c r="H38" s="359"/>
      <c r="I38" s="357">
        <v>3910.5</v>
      </c>
      <c r="J38" s="353"/>
      <c r="L38" s="31"/>
      <c r="M38" s="32" t="s">
        <v>30</v>
      </c>
      <c r="N38" s="55"/>
      <c r="O38" s="33"/>
      <c r="P38" s="56">
        <v>488400</v>
      </c>
      <c r="Q38" s="57">
        <v>488400</v>
      </c>
    </row>
    <row r="39" spans="1:17" ht="18">
      <c r="A39" s="4"/>
      <c r="B39" s="90" t="s">
        <v>91</v>
      </c>
      <c r="C39" s="88"/>
      <c r="D39" s="89"/>
      <c r="E39" s="89"/>
      <c r="F39" s="89"/>
      <c r="G39" s="358">
        <v>66000</v>
      </c>
      <c r="H39" s="359"/>
      <c r="I39" s="357">
        <v>66000</v>
      </c>
      <c r="J39" s="353"/>
      <c r="L39" s="31"/>
      <c r="M39" s="32" t="s">
        <v>31</v>
      </c>
      <c r="N39" s="55"/>
      <c r="O39" s="33"/>
      <c r="P39" s="56">
        <v>144360</v>
      </c>
      <c r="Q39" s="57">
        <v>144360</v>
      </c>
    </row>
    <row r="40" spans="1:17" ht="18">
      <c r="A40" s="4"/>
      <c r="B40" s="90" t="s">
        <v>92</v>
      </c>
      <c r="C40" s="88"/>
      <c r="D40" s="89"/>
      <c r="E40" s="89"/>
      <c r="F40" s="89"/>
      <c r="G40" s="358">
        <v>33000</v>
      </c>
      <c r="H40" s="359"/>
      <c r="I40" s="357">
        <v>33000</v>
      </c>
      <c r="J40" s="353"/>
      <c r="L40" s="272"/>
      <c r="M40" s="271" t="s">
        <v>148</v>
      </c>
      <c r="P40" s="56">
        <v>195609.07</v>
      </c>
      <c r="Q40" s="57">
        <v>195609.07</v>
      </c>
    </row>
    <row r="41" spans="1:17" ht="18">
      <c r="A41" s="4"/>
      <c r="B41" s="90" t="s">
        <v>93</v>
      </c>
      <c r="C41" s="88"/>
      <c r="D41" s="89"/>
      <c r="E41" s="89"/>
      <c r="F41" s="89"/>
      <c r="G41" s="358">
        <v>21250.04</v>
      </c>
      <c r="H41" s="359"/>
      <c r="I41" s="357">
        <v>21250.04</v>
      </c>
      <c r="J41" s="353"/>
      <c r="L41" s="31"/>
      <c r="M41" s="32" t="s">
        <v>32</v>
      </c>
      <c r="N41" s="55"/>
      <c r="O41" s="33"/>
      <c r="P41" s="56">
        <v>61739</v>
      </c>
      <c r="Q41" s="57">
        <v>61739</v>
      </c>
    </row>
    <row r="42" spans="1:17" ht="18.75" thickBot="1">
      <c r="B42" s="90" t="s">
        <v>104</v>
      </c>
      <c r="C42" s="88"/>
      <c r="D42" s="89"/>
      <c r="E42" s="89"/>
      <c r="F42" s="89"/>
      <c r="G42" s="358">
        <v>23875</v>
      </c>
      <c r="H42" s="359"/>
      <c r="I42" s="357">
        <v>23875</v>
      </c>
      <c r="J42" s="353"/>
      <c r="L42" s="31"/>
      <c r="M42" s="32" t="s">
        <v>33</v>
      </c>
      <c r="N42" s="55"/>
      <c r="O42" s="33"/>
      <c r="P42" s="56">
        <v>81400</v>
      </c>
      <c r="Q42" s="57">
        <v>81400</v>
      </c>
    </row>
    <row r="43" spans="1:17" ht="18.75" thickBot="1">
      <c r="B43" s="91" t="s">
        <v>138</v>
      </c>
      <c r="C43" s="88"/>
      <c r="D43" s="89"/>
      <c r="E43" s="89"/>
      <c r="F43" s="89"/>
      <c r="G43" s="182"/>
      <c r="H43" s="183"/>
      <c r="I43" s="352"/>
      <c r="J43" s="353"/>
      <c r="L43" s="190"/>
      <c r="M43" s="239"/>
      <c r="N43" s="189"/>
      <c r="O43" s="242" t="s">
        <v>131</v>
      </c>
      <c r="P43" s="240">
        <f>P37+P38+P41-P39-Q40-P42</f>
        <v>272787.32</v>
      </c>
      <c r="Q43" s="241">
        <f>Q37+Q38+Q41-Q39-Q40-Q42</f>
        <v>272787.32</v>
      </c>
    </row>
    <row r="44" spans="1:17" ht="19.5" thickTop="1" thickBot="1">
      <c r="B44" s="92"/>
      <c r="C44" s="93"/>
      <c r="D44" s="94"/>
      <c r="E44" s="95" t="s">
        <v>12</v>
      </c>
      <c r="F44" s="94"/>
      <c r="G44" s="354">
        <f t="shared" ref="G44" si="0">SUM(G31:G42)</f>
        <v>203935.54</v>
      </c>
      <c r="H44" s="356"/>
      <c r="I44" s="354">
        <f>SUM(I31:I42)</f>
        <v>198935.54</v>
      </c>
      <c r="J44" s="355"/>
      <c r="L44" s="133" t="s">
        <v>70</v>
      </c>
      <c r="M44" s="134" t="s">
        <v>71</v>
      </c>
      <c r="N44" s="135"/>
      <c r="O44" s="135"/>
      <c r="P44" s="135"/>
      <c r="Q44" s="139">
        <v>167300</v>
      </c>
    </row>
    <row r="45" spans="1:17" ht="18.75" thickTop="1">
      <c r="B45" s="88"/>
      <c r="C45" s="88"/>
      <c r="D45" s="89"/>
      <c r="E45" s="98"/>
      <c r="F45" s="89"/>
      <c r="G45" s="99"/>
      <c r="H45" s="89"/>
      <c r="I45" s="96"/>
      <c r="L45"/>
    </row>
    <row r="46" spans="1:17">
      <c r="I46" s="96"/>
      <c r="L46"/>
    </row>
    <row r="47" spans="1:17">
      <c r="I47" s="96"/>
      <c r="L47"/>
    </row>
    <row r="48" spans="1:17">
      <c r="I48" s="96"/>
      <c r="L48"/>
    </row>
    <row r="49" spans="3:17">
      <c r="I49" s="96"/>
      <c r="L49"/>
    </row>
    <row r="50" spans="3:17">
      <c r="I50" s="96"/>
      <c r="L50"/>
    </row>
    <row r="51" spans="3:17">
      <c r="I51" s="96"/>
      <c r="L51"/>
    </row>
    <row r="52" spans="3:17">
      <c r="I52" s="96"/>
      <c r="L52"/>
    </row>
    <row r="53" spans="3:17" ht="18">
      <c r="I53" s="89"/>
      <c r="K53" s="100"/>
      <c r="L53" s="96"/>
      <c r="M53" s="96"/>
      <c r="N53" s="96"/>
      <c r="O53" s="98"/>
      <c r="P53" s="99"/>
      <c r="Q53" s="96"/>
    </row>
    <row r="60" spans="3:17">
      <c r="C60" s="270">
        <f>MOD(G8,4)</f>
        <v>0</v>
      </c>
      <c r="D60">
        <v>0</v>
      </c>
      <c r="E60" s="101" t="s">
        <v>146</v>
      </c>
    </row>
    <row r="61" spans="3:17">
      <c r="C61" s="270">
        <f>MOD(G8+1,4)</f>
        <v>1</v>
      </c>
      <c r="D61">
        <v>1</v>
      </c>
      <c r="E61" s="101" t="s">
        <v>143</v>
      </c>
    </row>
    <row r="62" spans="3:17">
      <c r="D62">
        <v>2</v>
      </c>
      <c r="E62" s="101" t="s">
        <v>144</v>
      </c>
    </row>
    <row r="63" spans="3:17">
      <c r="D63">
        <v>3</v>
      </c>
      <c r="E63" s="101" t="s">
        <v>145</v>
      </c>
    </row>
  </sheetData>
  <sheetProtection sheet="1" objects="1" scenarios="1"/>
  <mergeCells count="45">
    <mergeCell ref="M32:O32"/>
    <mergeCell ref="G33:H33"/>
    <mergeCell ref="G34:H34"/>
    <mergeCell ref="G35:H35"/>
    <mergeCell ref="G31:H31"/>
    <mergeCell ref="G32:H32"/>
    <mergeCell ref="M33:O33"/>
    <mergeCell ref="M34:O34"/>
    <mergeCell ref="G42:H42"/>
    <mergeCell ref="B1:K1"/>
    <mergeCell ref="B7:Q7"/>
    <mergeCell ref="B10:J10"/>
    <mergeCell ref="G28:H28"/>
    <mergeCell ref="G29:H29"/>
    <mergeCell ref="L28:Q29"/>
    <mergeCell ref="L10:Q10"/>
    <mergeCell ref="I8:J8"/>
    <mergeCell ref="N8:O8"/>
    <mergeCell ref="G36:H36"/>
    <mergeCell ref="G39:H39"/>
    <mergeCell ref="G40:H40"/>
    <mergeCell ref="G30:H30"/>
    <mergeCell ref="M35:O35"/>
    <mergeCell ref="M31:O31"/>
    <mergeCell ref="I28:J28"/>
    <mergeCell ref="I29:J29"/>
    <mergeCell ref="I30:J30"/>
    <mergeCell ref="I31:J31"/>
    <mergeCell ref="I32:J32"/>
    <mergeCell ref="I43:J43"/>
    <mergeCell ref="I44:J44"/>
    <mergeCell ref="G44:H44"/>
    <mergeCell ref="I33:J33"/>
    <mergeCell ref="I34:J34"/>
    <mergeCell ref="I35:J35"/>
    <mergeCell ref="I36:J36"/>
    <mergeCell ref="I37:J37"/>
    <mergeCell ref="I38:J38"/>
    <mergeCell ref="I39:J39"/>
    <mergeCell ref="I41:J41"/>
    <mergeCell ref="I42:J42"/>
    <mergeCell ref="G38:H38"/>
    <mergeCell ref="G41:H41"/>
    <mergeCell ref="G37:H37"/>
    <mergeCell ref="I40:J4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8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BAB8"/>
    <pageSetUpPr fitToPage="1"/>
  </sheetPr>
  <dimension ref="A2:K53"/>
  <sheetViews>
    <sheetView workbookViewId="0">
      <selection activeCell="E5" sqref="E5"/>
    </sheetView>
  </sheetViews>
  <sheetFormatPr baseColWidth="10" defaultRowHeight="12.75"/>
  <cols>
    <col min="1" max="1" width="17" customWidth="1"/>
    <col min="3" max="3" width="11.7109375" bestFit="1" customWidth="1"/>
    <col min="5" max="5" width="11.7109375" bestFit="1" customWidth="1"/>
  </cols>
  <sheetData>
    <row r="2" spans="2:10">
      <c r="B2" s="347" t="s">
        <v>166</v>
      </c>
      <c r="C2" s="347" t="s">
        <v>167</v>
      </c>
      <c r="D2" s="347" t="s">
        <v>168</v>
      </c>
      <c r="E2" s="343" t="s">
        <v>159</v>
      </c>
    </row>
    <row r="3" spans="2:10">
      <c r="B3" s="344">
        <f>Marges!$E$21</f>
        <v>0.31624999999999998</v>
      </c>
      <c r="C3" s="344">
        <f>Marges!$H$21</f>
        <v>0.45055555555555554</v>
      </c>
      <c r="D3" s="344">
        <f>Marges!$K$21</f>
        <v>0.51959999999999995</v>
      </c>
      <c r="E3" s="344">
        <f>Marges!$Q$5</f>
        <v>0.42910784313725492</v>
      </c>
      <c r="I3" s="345" t="s">
        <v>160</v>
      </c>
      <c r="J3" s="345" t="s">
        <v>161</v>
      </c>
    </row>
    <row r="4" spans="2:10">
      <c r="I4" s="346">
        <f>Résultat!H20</f>
        <v>0.20544554901960785</v>
      </c>
      <c r="J4" s="346">
        <f>Résultat!Q20</f>
        <v>1.0514027806590811</v>
      </c>
    </row>
    <row r="19" spans="2:11">
      <c r="J19" s="341" t="str">
        <f>hypothèses!I8</f>
        <v>trimestre 4</v>
      </c>
      <c r="K19" s="341" t="str">
        <f>hypothèses!N8</f>
        <v>trimestre 1</v>
      </c>
    </row>
    <row r="20" spans="2:11">
      <c r="B20" s="345" t="s">
        <v>166</v>
      </c>
      <c r="C20" s="345" t="s">
        <v>167</v>
      </c>
      <c r="D20" s="345" t="s">
        <v>168</v>
      </c>
      <c r="E20" s="345" t="s">
        <v>158</v>
      </c>
      <c r="J20" s="342">
        <f>'Flux trésorerie'!G21</f>
        <v>167300</v>
      </c>
      <c r="K20" s="342">
        <f>'Flux trésorerie'!G22</f>
        <v>203178.5</v>
      </c>
    </row>
    <row r="21" spans="2:11">
      <c r="B21" s="342">
        <f>Marges!$N$30</f>
        <v>224700</v>
      </c>
      <c r="C21" s="342">
        <f>Marges!$O$30</f>
        <v>847950</v>
      </c>
      <c r="D21" s="342">
        <f>Marges!$P$30</f>
        <v>218820</v>
      </c>
      <c r="E21" s="342">
        <f>Marges!$Q$30</f>
        <v>1291470</v>
      </c>
    </row>
    <row r="39" spans="1:4">
      <c r="B39" s="14"/>
      <c r="C39" s="14"/>
      <c r="D39" s="14"/>
    </row>
    <row r="42" spans="1:4">
      <c r="B42" s="14"/>
      <c r="C42" s="14"/>
    </row>
    <row r="46" spans="1:4">
      <c r="B46" s="14"/>
      <c r="C46" s="14"/>
      <c r="D46" s="14"/>
    </row>
    <row r="47" spans="1:4">
      <c r="A47" s="13"/>
    </row>
    <row r="48" spans="1:4">
      <c r="A48" s="13"/>
    </row>
    <row r="49" spans="1:4" ht="17.25" customHeight="1">
      <c r="A49" s="13"/>
    </row>
    <row r="50" spans="1:4" ht="7.5" customHeight="1">
      <c r="B50" s="247" t="s">
        <v>0</v>
      </c>
      <c r="C50" s="14" t="s">
        <v>1</v>
      </c>
      <c r="D50" s="14" t="s">
        <v>2</v>
      </c>
    </row>
    <row r="51" spans="1:4" ht="7.5" customHeight="1">
      <c r="A51" t="s">
        <v>27</v>
      </c>
      <c r="B51" s="265">
        <f>100*Marges!$E$21</f>
        <v>31.624999999999996</v>
      </c>
      <c r="C51" s="266">
        <f>100*Marges!$H$21</f>
        <v>45.055555555555557</v>
      </c>
      <c r="D51" s="265">
        <f>100*Marges!$K$21</f>
        <v>51.959999999999994</v>
      </c>
    </row>
    <row r="52" spans="1:4" ht="7.5" customHeight="1">
      <c r="B52" s="265" t="s">
        <v>0</v>
      </c>
      <c r="C52" s="266" t="s">
        <v>1</v>
      </c>
      <c r="D52" s="265" t="s">
        <v>2</v>
      </c>
    </row>
    <row r="53" spans="1:4" ht="7.5" customHeight="1">
      <c r="A53" t="s">
        <v>26</v>
      </c>
      <c r="B53" s="265">
        <f>Marges!$E$30/1000</f>
        <v>110.85</v>
      </c>
      <c r="C53" s="265">
        <f>Marges!$H$30/1000</f>
        <v>422.17500000000001</v>
      </c>
      <c r="D53" s="265">
        <f>Marges!$K$30/1000</f>
        <v>101.91</v>
      </c>
    </row>
  </sheetData>
  <sheetProtection sheet="1" objects="1" scenarios="1"/>
  <phoneticPr fontId="0" type="noConversion"/>
  <pageMargins left="0.78740157499999996" right="0.21" top="0.984251969" bottom="0.984251969" header="0.4921259845" footer="0.4921259845"/>
  <pageSetup paperSize="9" scale="70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Q35"/>
  <sheetViews>
    <sheetView showGridLines="0" workbookViewId="0">
      <selection activeCell="N3" sqref="N3"/>
    </sheetView>
  </sheetViews>
  <sheetFormatPr baseColWidth="10" defaultRowHeight="12.75"/>
  <cols>
    <col min="1" max="1" width="1.85546875" customWidth="1"/>
    <col min="2" max="2" width="25.5703125" customWidth="1"/>
    <col min="3" max="3" width="5.5703125" style="1" customWidth="1"/>
    <col min="4" max="5" width="11.140625" style="1" customWidth="1"/>
    <col min="6" max="6" width="6.42578125" style="1" customWidth="1"/>
    <col min="7" max="8" width="11.28515625" style="1" customWidth="1"/>
    <col min="9" max="9" width="6.28515625" style="1" customWidth="1"/>
    <col min="10" max="11" width="10.5703125" style="1" customWidth="1"/>
    <col min="12" max="12" width="11.7109375" style="1" customWidth="1"/>
    <col min="13" max="13" width="11.42578125" style="13"/>
  </cols>
  <sheetData>
    <row r="2" spans="1:17" ht="18">
      <c r="A2" s="2"/>
      <c r="B2" s="399" t="s">
        <v>101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"/>
      <c r="N2" s="4"/>
      <c r="O2" s="4"/>
      <c r="P2" s="4"/>
      <c r="Q2" s="4"/>
    </row>
    <row r="3" spans="1:17" ht="18.75" thickBot="1">
      <c r="A3" s="2"/>
      <c r="B3" s="73" t="s">
        <v>63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3"/>
      <c r="N3" s="4"/>
      <c r="O3" s="4"/>
      <c r="P3" s="4"/>
      <c r="Q3" s="4"/>
    </row>
    <row r="4" spans="1:17" ht="14.25" thickTop="1" thickBot="1">
      <c r="A4" s="2"/>
      <c r="B4" s="274"/>
      <c r="C4" s="400" t="s">
        <v>166</v>
      </c>
      <c r="D4" s="401"/>
      <c r="E4" s="402"/>
      <c r="F4" s="400" t="s">
        <v>167</v>
      </c>
      <c r="G4" s="401"/>
      <c r="H4" s="402"/>
      <c r="I4" s="400" t="s">
        <v>168</v>
      </c>
      <c r="J4" s="401"/>
      <c r="K4" s="402"/>
      <c r="L4" s="275" t="s">
        <v>12</v>
      </c>
      <c r="M4" s="6"/>
      <c r="N4" s="273" t="s">
        <v>166</v>
      </c>
      <c r="O4" s="273" t="s">
        <v>167</v>
      </c>
      <c r="P4" s="273" t="s">
        <v>168</v>
      </c>
      <c r="Q4" s="273" t="s">
        <v>152</v>
      </c>
    </row>
    <row r="5" spans="1:17" ht="13.5" thickTop="1">
      <c r="A5" s="2"/>
      <c r="B5" s="276" t="s">
        <v>7</v>
      </c>
      <c r="C5" s="277"/>
      <c r="D5" s="278"/>
      <c r="E5" s="279">
        <f>hypothèses!G22</f>
        <v>4000</v>
      </c>
      <c r="F5" s="277"/>
      <c r="G5" s="278"/>
      <c r="H5" s="279">
        <f>hypothèses!H22</f>
        <v>9000</v>
      </c>
      <c r="I5" s="280"/>
      <c r="J5" s="281"/>
      <c r="K5" s="279">
        <f>hypothèses!I22</f>
        <v>25000</v>
      </c>
      <c r="L5" s="282">
        <f>(E5*E23)+(H23*H5)+(K23*K5)</f>
        <v>1530000</v>
      </c>
      <c r="M5" s="6"/>
      <c r="N5" s="339">
        <f>E21</f>
        <v>0.31624999999999998</v>
      </c>
      <c r="O5" s="339">
        <f>H21</f>
        <v>0.45055555555555554</v>
      </c>
      <c r="P5" s="339">
        <f>K21</f>
        <v>0.51959999999999995</v>
      </c>
      <c r="Q5" s="339">
        <f>L26/H31</f>
        <v>0.42910784313725492</v>
      </c>
    </row>
    <row r="6" spans="1:17">
      <c r="A6" s="2"/>
      <c r="B6" s="276"/>
      <c r="C6" s="283"/>
      <c r="D6" s="284"/>
      <c r="E6" s="285"/>
      <c r="F6" s="283"/>
      <c r="G6" s="284"/>
      <c r="H6" s="285"/>
      <c r="I6" s="286"/>
      <c r="J6" s="287"/>
      <c r="K6" s="285"/>
      <c r="L6" s="288"/>
      <c r="M6" s="6"/>
      <c r="N6" s="7"/>
      <c r="O6" s="7"/>
      <c r="P6" s="7"/>
      <c r="Q6" s="7"/>
    </row>
    <row r="7" spans="1:17">
      <c r="A7" s="2"/>
      <c r="B7" s="276" t="s">
        <v>19</v>
      </c>
      <c r="C7" s="283" t="s">
        <v>153</v>
      </c>
      <c r="D7" s="289">
        <f>hypothèses!J23</f>
        <v>0.03</v>
      </c>
      <c r="E7" s="285">
        <f>E5*$D$7</f>
        <v>120</v>
      </c>
      <c r="F7" s="283"/>
      <c r="G7" s="284"/>
      <c r="H7" s="285">
        <f>H5*$D$7</f>
        <v>270</v>
      </c>
      <c r="I7" s="286"/>
      <c r="J7" s="287"/>
      <c r="K7" s="285">
        <f>K5*$D$7</f>
        <v>750</v>
      </c>
      <c r="L7" s="288">
        <f>E23*E7+H23*H7+K23*K7</f>
        <v>45900</v>
      </c>
      <c r="M7" s="6"/>
      <c r="N7" s="7"/>
      <c r="O7" s="7"/>
      <c r="P7" s="7"/>
      <c r="Q7" s="7"/>
    </row>
    <row r="8" spans="1:17">
      <c r="A8" s="2"/>
      <c r="B8" s="276"/>
      <c r="C8" s="286"/>
      <c r="D8" s="287"/>
      <c r="E8" s="290"/>
      <c r="F8" s="286"/>
      <c r="G8" s="287"/>
      <c r="H8" s="290"/>
      <c r="I8" s="286"/>
      <c r="J8" s="287"/>
      <c r="K8" s="290"/>
      <c r="L8" s="288"/>
      <c r="M8" s="6"/>
      <c r="N8" s="7"/>
      <c r="O8" s="7"/>
      <c r="P8" s="7"/>
      <c r="Q8" s="7"/>
    </row>
    <row r="9" spans="1:17">
      <c r="A9" s="2"/>
      <c r="B9" s="276" t="s">
        <v>8</v>
      </c>
      <c r="C9" s="286"/>
      <c r="D9" s="287"/>
      <c r="E9" s="290"/>
      <c r="F9" s="286"/>
      <c r="G9" s="287"/>
      <c r="H9" s="290"/>
      <c r="I9" s="286"/>
      <c r="J9" s="287"/>
      <c r="K9" s="290"/>
      <c r="L9" s="288"/>
      <c r="M9" s="6"/>
      <c r="N9" s="7"/>
      <c r="O9" s="7"/>
      <c r="P9" s="7"/>
      <c r="Q9" s="7"/>
    </row>
    <row r="10" spans="1:17">
      <c r="A10" s="2"/>
      <c r="B10" s="291" t="s">
        <v>3</v>
      </c>
      <c r="C10" s="292">
        <f>hypothèses!G15</f>
        <v>0.2</v>
      </c>
      <c r="D10" s="293">
        <f>hypothèses!G12</f>
        <v>5200</v>
      </c>
      <c r="E10" s="285">
        <f>C10*D10</f>
        <v>1040</v>
      </c>
      <c r="F10" s="292">
        <f>hypothèses!H15</f>
        <v>0.4</v>
      </c>
      <c r="G10" s="293">
        <f>D10</f>
        <v>5200</v>
      </c>
      <c r="H10" s="285">
        <f>F10*G10</f>
        <v>2080</v>
      </c>
      <c r="I10" s="292">
        <f>hypothèses!I15</f>
        <v>1</v>
      </c>
      <c r="J10" s="293">
        <f>D10</f>
        <v>5200</v>
      </c>
      <c r="K10" s="285">
        <f>I10*J10</f>
        <v>5200</v>
      </c>
      <c r="L10" s="288"/>
      <c r="M10" s="6"/>
      <c r="N10" s="7"/>
      <c r="O10" s="7"/>
      <c r="P10" s="7"/>
      <c r="Q10" s="7"/>
    </row>
    <row r="11" spans="1:17">
      <c r="A11" s="2"/>
      <c r="B11" s="291" t="s">
        <v>4</v>
      </c>
      <c r="C11" s="292">
        <f>hypothèses!G16</f>
        <v>0.1</v>
      </c>
      <c r="D11" s="293">
        <f>hypothèses!H12</f>
        <v>2150</v>
      </c>
      <c r="E11" s="285">
        <f>C11*D11</f>
        <v>215</v>
      </c>
      <c r="F11" s="292">
        <f>hypothèses!H16</f>
        <v>0.2</v>
      </c>
      <c r="G11" s="293">
        <f>D11</f>
        <v>2150</v>
      </c>
      <c r="H11" s="285">
        <f>F11*G11</f>
        <v>430</v>
      </c>
      <c r="I11" s="292">
        <f>hypothèses!I16</f>
        <v>0.5</v>
      </c>
      <c r="J11" s="293">
        <f>D11</f>
        <v>2150</v>
      </c>
      <c r="K11" s="285">
        <f>I11*J11</f>
        <v>1075</v>
      </c>
      <c r="L11" s="288"/>
      <c r="M11" s="6"/>
      <c r="N11" s="7"/>
      <c r="O11" s="7"/>
      <c r="P11" s="7"/>
      <c r="Q11" s="7"/>
    </row>
    <row r="12" spans="1:17">
      <c r="A12" s="2"/>
      <c r="B12" s="276"/>
      <c r="C12" s="294"/>
      <c r="D12" s="284"/>
      <c r="E12" s="285"/>
      <c r="F12" s="294"/>
      <c r="G12" s="284"/>
      <c r="H12" s="285"/>
      <c r="I12" s="294"/>
      <c r="J12" s="284"/>
      <c r="K12" s="285"/>
      <c r="L12" s="288">
        <f>($E$23*SUM(E10:E11))+($H$23*SUM(H10:H11))+$K$23*SUM(K10:K11)</f>
        <v>432975</v>
      </c>
      <c r="M12" s="6"/>
      <c r="N12" s="7"/>
      <c r="O12" s="7"/>
      <c r="P12" s="7"/>
      <c r="Q12" s="7"/>
    </row>
    <row r="13" spans="1:17">
      <c r="A13" s="2"/>
      <c r="B13" s="295" t="s">
        <v>9</v>
      </c>
      <c r="C13" s="294"/>
      <c r="D13" s="284"/>
      <c r="E13" s="285"/>
      <c r="F13" s="294"/>
      <c r="G13" s="284"/>
      <c r="H13" s="285"/>
      <c r="I13" s="294"/>
      <c r="J13" s="284"/>
      <c r="K13" s="285"/>
      <c r="L13" s="288"/>
      <c r="M13" s="6"/>
      <c r="N13" s="7"/>
      <c r="O13" s="7"/>
      <c r="P13" s="7"/>
      <c r="Q13" s="7"/>
    </row>
    <row r="14" spans="1:17">
      <c r="A14" s="2"/>
      <c r="B14" s="291" t="s">
        <v>5</v>
      </c>
      <c r="C14" s="292">
        <f>hypothèses!G17</f>
        <v>8</v>
      </c>
      <c r="D14" s="349">
        <f>hypothèses!Q15</f>
        <v>50</v>
      </c>
      <c r="E14" s="285">
        <f>C14*D14</f>
        <v>400</v>
      </c>
      <c r="F14" s="292">
        <f>hypothèses!H17</f>
        <v>12</v>
      </c>
      <c r="G14" s="349">
        <f>D14</f>
        <v>50</v>
      </c>
      <c r="H14" s="285">
        <f>F14*G14</f>
        <v>600</v>
      </c>
      <c r="I14" s="292">
        <f>hypothèses!I17</f>
        <v>28</v>
      </c>
      <c r="J14" s="349">
        <f>D14</f>
        <v>50</v>
      </c>
      <c r="K14" s="285">
        <f>I14*J14</f>
        <v>1400</v>
      </c>
      <c r="L14" s="288"/>
      <c r="M14" s="6"/>
      <c r="N14" s="7"/>
      <c r="O14" s="7"/>
      <c r="P14" s="7"/>
      <c r="Q14" s="7"/>
    </row>
    <row r="15" spans="1:17">
      <c r="A15" s="2"/>
      <c r="B15" s="291" t="s">
        <v>6</v>
      </c>
      <c r="C15" s="292">
        <f>hypothèses!G18</f>
        <v>10</v>
      </c>
      <c r="D15" s="349">
        <f>hypothèses!Q16</f>
        <v>70</v>
      </c>
      <c r="E15" s="285">
        <f>C15*D15</f>
        <v>700</v>
      </c>
      <c r="F15" s="292">
        <f>hypothèses!H18</f>
        <v>14</v>
      </c>
      <c r="G15" s="349">
        <f>D15</f>
        <v>70</v>
      </c>
      <c r="H15" s="285">
        <f>F15*G15</f>
        <v>980</v>
      </c>
      <c r="I15" s="292">
        <f>hypothèses!I18</f>
        <v>28</v>
      </c>
      <c r="J15" s="349">
        <f>D15</f>
        <v>70</v>
      </c>
      <c r="K15" s="285">
        <f>I15*J15</f>
        <v>1960</v>
      </c>
      <c r="L15" s="288"/>
      <c r="M15" s="6"/>
      <c r="N15" s="7"/>
      <c r="O15" s="7"/>
      <c r="P15" s="7"/>
      <c r="Q15" s="7"/>
    </row>
    <row r="16" spans="1:17">
      <c r="A16" s="2"/>
      <c r="B16" s="291"/>
      <c r="C16" s="294"/>
      <c r="D16" s="284"/>
      <c r="E16" s="285"/>
      <c r="F16" s="294"/>
      <c r="G16" s="284"/>
      <c r="H16" s="285"/>
      <c r="I16" s="294"/>
      <c r="J16" s="284"/>
      <c r="K16" s="285"/>
      <c r="L16" s="288"/>
      <c r="M16" s="6"/>
      <c r="N16" s="7"/>
      <c r="O16" s="7"/>
      <c r="P16" s="7"/>
      <c r="Q16" s="7"/>
    </row>
    <row r="17" spans="1:17">
      <c r="A17" s="2"/>
      <c r="B17" s="295" t="s">
        <v>169</v>
      </c>
      <c r="C17" s="294" t="s">
        <v>153</v>
      </c>
      <c r="D17" s="348">
        <v>6.5000000000000002E-2</v>
      </c>
      <c r="E17" s="285">
        <f>$D$17*E5</f>
        <v>260</v>
      </c>
      <c r="F17" s="294"/>
      <c r="G17" s="284"/>
      <c r="H17" s="285">
        <f>$D$17*H5</f>
        <v>585</v>
      </c>
      <c r="I17" s="294"/>
      <c r="J17" s="284"/>
      <c r="K17" s="285">
        <f>$D$17*K5</f>
        <v>1625</v>
      </c>
      <c r="L17" s="288"/>
      <c r="M17" s="6"/>
      <c r="N17" s="7"/>
      <c r="O17" s="7"/>
      <c r="P17" s="7"/>
      <c r="Q17" s="7"/>
    </row>
    <row r="18" spans="1:17" ht="13.5" thickBot="1">
      <c r="A18" s="2"/>
      <c r="B18" s="276"/>
      <c r="C18" s="296"/>
      <c r="D18" s="297"/>
      <c r="E18" s="298"/>
      <c r="F18" s="299"/>
      <c r="G18" s="297"/>
      <c r="H18" s="298"/>
      <c r="I18" s="299"/>
      <c r="J18" s="297"/>
      <c r="K18" s="298"/>
      <c r="L18" s="300">
        <f>($E$23*SUM(E14:E15))+($H$23*SUM(H14:H15))+$K$23*SUM(K14:K15)</f>
        <v>295140</v>
      </c>
      <c r="M18" s="6"/>
      <c r="N18" s="7"/>
      <c r="O18" s="7"/>
      <c r="P18" s="7"/>
      <c r="Q18" s="7"/>
    </row>
    <row r="19" spans="1:17" ht="13.5" thickTop="1">
      <c r="A19" s="2"/>
      <c r="B19" s="301" t="s">
        <v>10</v>
      </c>
      <c r="C19" s="302"/>
      <c r="D19" s="303"/>
      <c r="E19" s="303">
        <f>E5-SUM(E7:E17)</f>
        <v>1265</v>
      </c>
      <c r="F19" s="303"/>
      <c r="G19" s="303"/>
      <c r="H19" s="303">
        <f>H5-SUM(H7:H17)</f>
        <v>4055</v>
      </c>
      <c r="I19" s="303"/>
      <c r="J19" s="303"/>
      <c r="K19" s="303">
        <f>K5-SUM(K7:K17)</f>
        <v>12990</v>
      </c>
      <c r="L19" s="282"/>
      <c r="M19" s="6"/>
      <c r="N19" s="16"/>
      <c r="O19" s="16"/>
      <c r="P19" s="16"/>
      <c r="Q19" s="7"/>
    </row>
    <row r="20" spans="1:17">
      <c r="A20" s="2"/>
      <c r="B20" s="304"/>
      <c r="C20" s="305"/>
      <c r="D20" s="306"/>
      <c r="E20" s="306"/>
      <c r="F20" s="306"/>
      <c r="G20" s="306"/>
      <c r="H20" s="307"/>
      <c r="I20" s="307"/>
      <c r="J20" s="307"/>
      <c r="K20" s="307"/>
      <c r="L20" s="288"/>
      <c r="M20" s="6"/>
      <c r="N20" s="7"/>
      <c r="O20" s="7"/>
      <c r="P20" s="7"/>
      <c r="Q20" s="7"/>
    </row>
    <row r="21" spans="1:17" ht="13.5" thickBot="1">
      <c r="A21" s="2"/>
      <c r="B21" s="308" t="s">
        <v>11</v>
      </c>
      <c r="C21" s="309"/>
      <c r="D21" s="310"/>
      <c r="E21" s="311">
        <f>E19/E5</f>
        <v>0.31624999999999998</v>
      </c>
      <c r="F21" s="310"/>
      <c r="G21" s="310"/>
      <c r="H21" s="311">
        <f>H19/H5</f>
        <v>0.45055555555555554</v>
      </c>
      <c r="I21" s="310"/>
      <c r="J21" s="310"/>
      <c r="K21" s="312">
        <f>K19/K5</f>
        <v>0.51959999999999995</v>
      </c>
      <c r="L21" s="300"/>
      <c r="M21" s="6"/>
      <c r="N21" s="7"/>
      <c r="O21" s="7"/>
      <c r="P21" s="7"/>
      <c r="Q21" s="7"/>
    </row>
    <row r="22" spans="1:17" ht="14.25" thickTop="1" thickBot="1">
      <c r="A22" s="2"/>
      <c r="B22" s="320"/>
      <c r="C22" s="321"/>
      <c r="D22" s="329" t="s">
        <v>154</v>
      </c>
      <c r="E22" s="324" t="s">
        <v>155</v>
      </c>
      <c r="F22" s="321"/>
      <c r="G22" s="329" t="s">
        <v>154</v>
      </c>
      <c r="H22" s="324" t="s">
        <v>155</v>
      </c>
      <c r="I22" s="321"/>
      <c r="J22" s="329" t="s">
        <v>154</v>
      </c>
      <c r="K22" s="324" t="s">
        <v>155</v>
      </c>
      <c r="L22" s="325"/>
      <c r="M22" s="6"/>
      <c r="N22" s="7"/>
      <c r="O22" s="7"/>
      <c r="P22" s="7"/>
      <c r="Q22" s="7"/>
    </row>
    <row r="23" spans="1:17" ht="13.5" thickTop="1">
      <c r="A23" s="2"/>
      <c r="B23" s="313" t="s">
        <v>99</v>
      </c>
      <c r="C23" s="314"/>
      <c r="D23" s="333">
        <f>E23/hypothèses!G26</f>
        <v>180</v>
      </c>
      <c r="E23" s="326">
        <f>hypothèses!G21*3</f>
        <v>90</v>
      </c>
      <c r="F23" s="327"/>
      <c r="G23" s="333">
        <f>H23/hypothèses!H26</f>
        <v>210</v>
      </c>
      <c r="H23" s="326">
        <f>hypothèses!H21*3</f>
        <v>105</v>
      </c>
      <c r="I23" s="327"/>
      <c r="J23" s="333">
        <f>K23/hypothèses!I26</f>
        <v>18</v>
      </c>
      <c r="K23" s="326">
        <f>hypothèses!I21*3</f>
        <v>9</v>
      </c>
      <c r="L23" s="288"/>
      <c r="M23" s="6"/>
      <c r="N23" s="7"/>
      <c r="O23" s="7"/>
      <c r="P23" s="7"/>
      <c r="Q23" s="7"/>
    </row>
    <row r="24" spans="1:17">
      <c r="A24" s="2"/>
      <c r="B24" s="313"/>
      <c r="C24" s="314"/>
      <c r="D24" s="328"/>
      <c r="E24" s="316"/>
      <c r="F24" s="314"/>
      <c r="G24" s="328"/>
      <c r="H24" s="316"/>
      <c r="I24" s="314"/>
      <c r="J24" s="328"/>
      <c r="K24" s="316"/>
      <c r="L24" s="288"/>
      <c r="M24" s="6"/>
      <c r="N24" s="7"/>
      <c r="O24" s="7"/>
      <c r="P24" s="7"/>
      <c r="Q24" s="7"/>
    </row>
    <row r="25" spans="1:17">
      <c r="A25" s="2"/>
      <c r="B25" s="313" t="s">
        <v>18</v>
      </c>
      <c r="C25" s="314"/>
      <c r="D25" s="328"/>
      <c r="E25" s="316">
        <f>E19*E23</f>
        <v>113850</v>
      </c>
      <c r="F25" s="314"/>
      <c r="G25" s="328"/>
      <c r="H25" s="316">
        <f>H19*H23</f>
        <v>425775</v>
      </c>
      <c r="I25" s="314"/>
      <c r="J25" s="328"/>
      <c r="K25" s="316">
        <f>K19*K23</f>
        <v>116910</v>
      </c>
      <c r="L25" s="288">
        <f>E25+H25+K25</f>
        <v>656535</v>
      </c>
      <c r="M25" s="6"/>
      <c r="N25" s="7"/>
      <c r="O25" s="7"/>
      <c r="P25" s="7"/>
      <c r="Q25" s="7"/>
    </row>
    <row r="26" spans="1:17">
      <c r="A26" s="2"/>
      <c r="B26" s="313"/>
      <c r="C26" s="314"/>
      <c r="D26" s="328">
        <f>D23*E19</f>
        <v>227700</v>
      </c>
      <c r="E26" s="316"/>
      <c r="F26" s="314"/>
      <c r="G26" s="328">
        <f>G23*H19</f>
        <v>851550</v>
      </c>
      <c r="H26" s="316"/>
      <c r="I26" s="314"/>
      <c r="J26" s="328">
        <f>J23*K19</f>
        <v>233820</v>
      </c>
      <c r="K26" s="316"/>
      <c r="L26" s="330">
        <f>SUM(D26:J26)</f>
        <v>1313070</v>
      </c>
      <c r="M26" s="6"/>
      <c r="N26" s="7"/>
      <c r="O26" s="7"/>
      <c r="P26" s="7"/>
      <c r="Q26" s="7"/>
    </row>
    <row r="27" spans="1:17">
      <c r="A27" s="2"/>
      <c r="B27" s="317" t="s">
        <v>100</v>
      </c>
      <c r="C27" s="314"/>
      <c r="D27" s="328"/>
      <c r="E27" s="316"/>
      <c r="F27" s="314"/>
      <c r="G27" s="328"/>
      <c r="H27" s="316"/>
      <c r="I27" s="314"/>
      <c r="J27" s="328"/>
      <c r="K27" s="316"/>
      <c r="L27" s="288"/>
      <c r="M27" s="6"/>
      <c r="N27" s="7"/>
      <c r="O27" s="7"/>
      <c r="P27" s="7"/>
      <c r="Q27" s="7"/>
    </row>
    <row r="28" spans="1:17">
      <c r="A28" s="2"/>
      <c r="B28" s="318" t="s">
        <v>16</v>
      </c>
      <c r="C28" s="314"/>
      <c r="D28" s="328">
        <f>E28</f>
        <v>3000</v>
      </c>
      <c r="E28" s="319">
        <f>hypothèses!G24*3</f>
        <v>3000</v>
      </c>
      <c r="F28" s="314"/>
      <c r="G28" s="328">
        <f>H28</f>
        <v>3600</v>
      </c>
      <c r="H28" s="319">
        <f>hypothèses!H24*3</f>
        <v>3600</v>
      </c>
      <c r="I28" s="314"/>
      <c r="J28" s="328">
        <f>K28</f>
        <v>15000</v>
      </c>
      <c r="K28" s="319">
        <f>hypothèses!I24*3</f>
        <v>15000</v>
      </c>
      <c r="L28" s="288">
        <f>E28+H28+K28</f>
        <v>21600</v>
      </c>
      <c r="M28" s="6"/>
      <c r="N28" s="7"/>
      <c r="O28" s="7"/>
      <c r="P28" s="7"/>
      <c r="Q28" s="7"/>
    </row>
    <row r="29" spans="1:17" ht="13.5" thickBot="1">
      <c r="A29" s="2"/>
      <c r="B29" s="317"/>
      <c r="C29" s="314"/>
      <c r="D29" s="315"/>
      <c r="E29" s="316"/>
      <c r="F29" s="314"/>
      <c r="G29" s="315"/>
      <c r="H29" s="316"/>
      <c r="I29" s="314"/>
      <c r="J29" s="315"/>
      <c r="K29" s="316"/>
      <c r="L29" s="300"/>
      <c r="M29" s="6"/>
      <c r="N29" s="273" t="s">
        <v>166</v>
      </c>
      <c r="O29" s="273" t="s">
        <v>167</v>
      </c>
      <c r="P29" s="273" t="s">
        <v>168</v>
      </c>
      <c r="Q29" s="273" t="s">
        <v>158</v>
      </c>
    </row>
    <row r="30" spans="1:17" ht="14.25" thickTop="1" thickBot="1">
      <c r="A30" s="2"/>
      <c r="B30" s="320" t="s">
        <v>17</v>
      </c>
      <c r="C30" s="321"/>
      <c r="D30" s="331">
        <f>D26-D28</f>
        <v>224700</v>
      </c>
      <c r="E30" s="322">
        <f>E25-E28</f>
        <v>110850</v>
      </c>
      <c r="F30" s="321"/>
      <c r="G30" s="331">
        <f>G26-G28</f>
        <v>847950</v>
      </c>
      <c r="H30" s="322">
        <f>H25-H28</f>
        <v>422175</v>
      </c>
      <c r="I30" s="321"/>
      <c r="J30" s="331">
        <f>J26-J28</f>
        <v>218820</v>
      </c>
      <c r="K30" s="322">
        <f>K25-K28</f>
        <v>101910</v>
      </c>
      <c r="L30" s="323">
        <f>E30+H30+K30</f>
        <v>634935</v>
      </c>
      <c r="M30" s="6" t="s">
        <v>20</v>
      </c>
      <c r="N30" s="340">
        <f>D30</f>
        <v>224700</v>
      </c>
      <c r="O30" s="340">
        <f>G30</f>
        <v>847950</v>
      </c>
      <c r="P30" s="340">
        <f>J30</f>
        <v>218820</v>
      </c>
      <c r="Q30" s="340">
        <f>L31</f>
        <v>1291470</v>
      </c>
    </row>
    <row r="31" spans="1:17" ht="14.25" thickTop="1" thickBot="1">
      <c r="A31" s="4"/>
      <c r="B31" s="338"/>
      <c r="C31" s="335"/>
      <c r="D31" s="336"/>
      <c r="E31" s="337"/>
      <c r="F31" s="396" t="s">
        <v>157</v>
      </c>
      <c r="G31" s="398"/>
      <c r="H31" s="334">
        <f>(D23*E5)+(G23*H5)+(J23*K5)</f>
        <v>3060000</v>
      </c>
      <c r="I31" s="396" t="s">
        <v>156</v>
      </c>
      <c r="J31" s="397"/>
      <c r="K31" s="398"/>
      <c r="L31" s="332">
        <f>D30+G30+J30</f>
        <v>1291470</v>
      </c>
      <c r="M31" s="6"/>
      <c r="N31" s="7"/>
      <c r="O31" s="7"/>
      <c r="P31" s="7"/>
      <c r="Q31" s="7"/>
    </row>
    <row r="32" spans="1:17" ht="13.5" thickTop="1">
      <c r="A32" s="4"/>
      <c r="B32" s="8"/>
      <c r="C32" s="2"/>
      <c r="D32" s="2"/>
      <c r="E32" s="2"/>
      <c r="F32" s="2"/>
      <c r="G32" s="2"/>
      <c r="H32" s="2"/>
      <c r="I32" s="2"/>
      <c r="J32" s="2"/>
      <c r="K32" s="2"/>
      <c r="L32" s="5"/>
      <c r="M32" s="6"/>
      <c r="N32" s="7"/>
      <c r="O32" s="7"/>
      <c r="P32" s="7"/>
      <c r="Q32" s="7"/>
    </row>
    <row r="33" spans="1:17">
      <c r="A33" s="4"/>
      <c r="B33" s="8"/>
      <c r="C33" s="2"/>
      <c r="D33" s="2"/>
      <c r="E33" s="2"/>
      <c r="F33" s="2"/>
      <c r="G33" s="2"/>
      <c r="H33" s="2"/>
      <c r="I33" s="2"/>
      <c r="J33" s="2"/>
      <c r="K33" s="2"/>
      <c r="L33" s="17"/>
      <c r="M33" s="6"/>
      <c r="N33" s="7"/>
      <c r="O33" s="7"/>
      <c r="P33" s="7"/>
      <c r="Q33" s="7"/>
    </row>
    <row r="34" spans="1:17">
      <c r="B34" s="9"/>
      <c r="L34" s="10"/>
      <c r="M34" s="11"/>
      <c r="N34" s="12"/>
      <c r="O34" s="12"/>
      <c r="P34" s="12"/>
      <c r="Q34" s="12"/>
    </row>
    <row r="35" spans="1:17">
      <c r="B35" s="9"/>
    </row>
  </sheetData>
  <sheetProtection sheet="1" objects="1" scenarios="1"/>
  <mergeCells count="6">
    <mergeCell ref="I31:K31"/>
    <mergeCell ref="F31:G31"/>
    <mergeCell ref="B2:L2"/>
    <mergeCell ref="C4:E4"/>
    <mergeCell ref="F4:H4"/>
    <mergeCell ref="I4:K4"/>
  </mergeCells>
  <phoneticPr fontId="0" type="noConversion"/>
  <pageMargins left="0.3" right="0.28999999999999998" top="0.984251969" bottom="0.984251969" header="0.4921259845" footer="0.4921259845"/>
  <pageSetup paperSize="9" scale="79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R22"/>
  <sheetViews>
    <sheetView workbookViewId="0">
      <selection activeCell="M24" sqref="M24"/>
    </sheetView>
  </sheetViews>
  <sheetFormatPr baseColWidth="10" defaultRowHeight="12.75"/>
  <cols>
    <col min="1" max="1" width="2.140625" customWidth="1"/>
    <col min="4" max="4" width="13" customWidth="1"/>
    <col min="5" max="8" width="13.7109375" customWidth="1"/>
    <col min="9" max="9" width="1.5703125" customWidth="1"/>
    <col min="10" max="10" width="1.7109375" customWidth="1"/>
    <col min="13" max="13" width="11.28515625" customWidth="1"/>
    <col min="14" max="17" width="14" customWidth="1"/>
  </cols>
  <sheetData>
    <row r="2" spans="2:18" ht="17.25" customHeight="1">
      <c r="G2" s="403" t="s">
        <v>63</v>
      </c>
      <c r="H2" s="404"/>
      <c r="I2" s="404"/>
      <c r="J2" s="404"/>
      <c r="K2" s="404"/>
      <c r="L2" s="404"/>
      <c r="R2" s="263"/>
    </row>
    <row r="4" spans="2:18" ht="13.5" customHeight="1">
      <c r="E4" s="101"/>
    </row>
    <row r="5" spans="2:18" ht="13.5" customHeight="1"/>
    <row r="6" spans="2:18" ht="18.75" customHeight="1">
      <c r="B6" s="405" t="s">
        <v>163</v>
      </c>
      <c r="C6" s="405"/>
      <c r="D6" s="405"/>
      <c r="E6" s="405"/>
      <c r="F6" s="405"/>
      <c r="G6" s="405"/>
      <c r="H6" s="405"/>
      <c r="I6" s="89"/>
      <c r="K6" s="100"/>
      <c r="L6" s="96"/>
      <c r="M6" s="96"/>
      <c r="N6" s="96"/>
      <c r="O6" s="98"/>
      <c r="P6" s="99"/>
      <c r="Q6" s="96"/>
    </row>
    <row r="7" spans="2:18" ht="18.75" customHeight="1" thickBot="1">
      <c r="B7" s="408" t="s">
        <v>162</v>
      </c>
      <c r="C7" s="408"/>
      <c r="D7" s="408"/>
      <c r="E7" s="409"/>
      <c r="F7" s="409"/>
      <c r="G7" s="409"/>
      <c r="H7" s="409"/>
      <c r="I7" s="86"/>
      <c r="J7" s="264"/>
      <c r="K7" s="410" t="s">
        <v>103</v>
      </c>
      <c r="L7" s="411"/>
      <c r="M7" s="411"/>
      <c r="N7" s="411"/>
      <c r="O7" s="411"/>
      <c r="P7" s="411"/>
      <c r="Q7" s="411"/>
    </row>
    <row r="8" spans="2:18" ht="16.5" customHeight="1" thickTop="1" thickBot="1">
      <c r="B8" s="196"/>
      <c r="C8" s="197"/>
      <c r="D8" s="198"/>
      <c r="E8" s="199" t="s">
        <v>166</v>
      </c>
      <c r="F8" s="200" t="s">
        <v>167</v>
      </c>
      <c r="G8" s="200" t="s">
        <v>168</v>
      </c>
      <c r="H8" s="201" t="s">
        <v>12</v>
      </c>
      <c r="I8" s="202"/>
      <c r="J8" s="203"/>
      <c r="K8" s="254"/>
      <c r="L8" s="255"/>
      <c r="M8" s="256"/>
      <c r="N8" s="199" t="s">
        <v>166</v>
      </c>
      <c r="O8" s="200" t="s">
        <v>167</v>
      </c>
      <c r="P8" s="200" t="s">
        <v>168</v>
      </c>
      <c r="Q8" s="201" t="s">
        <v>12</v>
      </c>
    </row>
    <row r="9" spans="2:18" ht="13.5" customHeight="1" thickTop="1">
      <c r="B9" s="248"/>
      <c r="C9" s="206"/>
      <c r="D9" s="207"/>
      <c r="E9" s="257"/>
      <c r="F9" s="258"/>
      <c r="G9" s="258"/>
      <c r="H9" s="259"/>
      <c r="I9" s="244"/>
      <c r="J9" s="203"/>
      <c r="K9" s="260" t="s">
        <v>140</v>
      </c>
      <c r="L9" s="204"/>
      <c r="M9" s="205"/>
      <c r="N9" s="261">
        <f>hypothèses!G26</f>
        <v>0.5</v>
      </c>
      <c r="O9" s="262">
        <f>hypothèses!H26</f>
        <v>0.5</v>
      </c>
      <c r="P9" s="262">
        <f>hypothèses!I26</f>
        <v>0.5</v>
      </c>
      <c r="Q9" s="259"/>
    </row>
    <row r="10" spans="2:18" ht="13.5" customHeight="1">
      <c r="B10" s="249" t="s">
        <v>86</v>
      </c>
      <c r="C10" s="250"/>
      <c r="D10" s="251"/>
      <c r="E10" s="213">
        <f>Marges!E25</f>
        <v>113850</v>
      </c>
      <c r="F10" s="214">
        <f>Marges!H25</f>
        <v>425775</v>
      </c>
      <c r="G10" s="214">
        <f>Marges!K25</f>
        <v>116910</v>
      </c>
      <c r="H10" s="215">
        <f>SUM(E10:G10)</f>
        <v>656535</v>
      </c>
      <c r="I10" s="244"/>
      <c r="J10" s="203"/>
      <c r="K10" s="249" t="s">
        <v>86</v>
      </c>
      <c r="L10" s="250"/>
      <c r="M10" s="251"/>
      <c r="N10" s="213">
        <f>E10/hypothèses!G26</f>
        <v>227700</v>
      </c>
      <c r="O10" s="214">
        <f>F10/hypothèses!H26</f>
        <v>851550</v>
      </c>
      <c r="P10" s="214">
        <f>G10/hypothèses!I26</f>
        <v>233820</v>
      </c>
      <c r="Q10" s="215">
        <f>SUM(N10:P10)</f>
        <v>1313070</v>
      </c>
    </row>
    <row r="11" spans="2:18" ht="13.5" customHeight="1">
      <c r="B11" s="252" t="s">
        <v>16</v>
      </c>
      <c r="C11" s="208"/>
      <c r="D11" s="209"/>
      <c r="E11" s="210">
        <f>Marges!E28</f>
        <v>3000</v>
      </c>
      <c r="F11" s="211">
        <f>Marges!H28</f>
        <v>3600</v>
      </c>
      <c r="G11" s="211">
        <f>Marges!K28</f>
        <v>15000</v>
      </c>
      <c r="H11" s="212">
        <f>SUM(E11:G11)</f>
        <v>21600</v>
      </c>
      <c r="I11" s="203"/>
      <c r="J11" s="203"/>
      <c r="K11" s="252" t="s">
        <v>16</v>
      </c>
      <c r="L11" s="208"/>
      <c r="M11" s="209"/>
      <c r="N11" s="210">
        <f>E11</f>
        <v>3000</v>
      </c>
      <c r="O11" s="211">
        <f t="shared" ref="O11:Q11" si="0">F11</f>
        <v>3600</v>
      </c>
      <c r="P11" s="211">
        <f t="shared" si="0"/>
        <v>15000</v>
      </c>
      <c r="Q11" s="212">
        <f t="shared" si="0"/>
        <v>21600</v>
      </c>
    </row>
    <row r="12" spans="2:18" ht="20.25" customHeight="1">
      <c r="B12" s="252" t="s">
        <v>17</v>
      </c>
      <c r="C12" s="208"/>
      <c r="D12" s="209"/>
      <c r="E12" s="213">
        <f>Marges!E30</f>
        <v>110850</v>
      </c>
      <c r="F12" s="214">
        <f>Marges!H30</f>
        <v>422175</v>
      </c>
      <c r="G12" s="214">
        <f>Marges!K30</f>
        <v>101910</v>
      </c>
      <c r="H12" s="215">
        <f>Marges!L30</f>
        <v>634935</v>
      </c>
      <c r="I12" s="216"/>
      <c r="J12" s="203"/>
      <c r="K12" s="252" t="s">
        <v>17</v>
      </c>
      <c r="L12" s="208"/>
      <c r="M12" s="209"/>
      <c r="N12" s="213">
        <f>N10-N11</f>
        <v>224700</v>
      </c>
      <c r="O12" s="214">
        <f t="shared" ref="O12:Q12" si="1">O10-O11</f>
        <v>847950</v>
      </c>
      <c r="P12" s="214">
        <f t="shared" si="1"/>
        <v>218820</v>
      </c>
      <c r="Q12" s="215">
        <f t="shared" si="1"/>
        <v>1291470</v>
      </c>
    </row>
    <row r="13" spans="2:18" ht="13.5" customHeight="1">
      <c r="B13" s="252"/>
      <c r="C13" s="208"/>
      <c r="D13" s="209"/>
      <c r="E13" s="217"/>
      <c r="F13" s="218"/>
      <c r="G13" s="218"/>
      <c r="H13" s="219"/>
      <c r="I13" s="203"/>
      <c r="J13" s="203"/>
      <c r="K13" s="252"/>
      <c r="L13" s="208"/>
      <c r="M13" s="209"/>
      <c r="N13" s="217"/>
      <c r="O13" s="218"/>
      <c r="P13" s="218"/>
      <c r="Q13" s="219"/>
    </row>
    <row r="14" spans="2:18" ht="13.5" customHeight="1">
      <c r="B14" s="252" t="s">
        <v>139</v>
      </c>
      <c r="C14" s="208"/>
      <c r="D14" s="209"/>
      <c r="E14" s="220"/>
      <c r="F14" s="221"/>
      <c r="G14" s="222"/>
      <c r="H14" s="223">
        <f>hypothèses!G44*3</f>
        <v>611806.62</v>
      </c>
      <c r="I14" s="203"/>
      <c r="J14" s="203"/>
      <c r="K14" s="252" t="s">
        <v>139</v>
      </c>
      <c r="L14" s="208"/>
      <c r="M14" s="209"/>
      <c r="N14" s="220"/>
      <c r="O14" s="221"/>
      <c r="P14" s="222"/>
      <c r="Q14" s="223">
        <f>H14</f>
        <v>611806.62</v>
      </c>
    </row>
    <row r="15" spans="2:18" ht="13.5" customHeight="1" thickBot="1">
      <c r="B15" s="252" t="s">
        <v>130</v>
      </c>
      <c r="C15" s="208"/>
      <c r="D15" s="209"/>
      <c r="E15" s="220"/>
      <c r="F15" s="221"/>
      <c r="G15" s="222"/>
      <c r="H15" s="212">
        <f>hypothèses!J24*3</f>
        <v>51000</v>
      </c>
      <c r="I15" s="203"/>
      <c r="J15" s="203"/>
      <c r="K15" s="252" t="s">
        <v>130</v>
      </c>
      <c r="L15" s="208"/>
      <c r="M15" s="209"/>
      <c r="N15" s="220"/>
      <c r="O15" s="221"/>
      <c r="P15" s="222"/>
      <c r="Q15" s="212">
        <f>H15</f>
        <v>51000</v>
      </c>
    </row>
    <row r="16" spans="2:18" ht="13.5" customHeight="1" thickBot="1">
      <c r="B16" s="253" t="s">
        <v>98</v>
      </c>
      <c r="C16" s="224"/>
      <c r="D16" s="225"/>
      <c r="E16" s="226"/>
      <c r="F16" s="227"/>
      <c r="G16" s="228"/>
      <c r="H16" s="229">
        <f>H12-H14-H15</f>
        <v>-27871.619999999995</v>
      </c>
      <c r="I16" s="203"/>
      <c r="J16" s="203"/>
      <c r="K16" s="253" t="s">
        <v>164</v>
      </c>
      <c r="L16" s="224"/>
      <c r="M16" s="225"/>
      <c r="N16" s="226"/>
      <c r="O16" s="227"/>
      <c r="P16" s="228"/>
      <c r="Q16" s="229">
        <f>Q12-Q14-Q15</f>
        <v>628663.38</v>
      </c>
    </row>
    <row r="17" spans="2:17" ht="13.5" customHeight="1" thickTop="1"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2:17" ht="13.5" customHeight="1" thickBot="1">
      <c r="B18" s="406" t="s">
        <v>108</v>
      </c>
      <c r="C18" s="407"/>
      <c r="D18" s="407"/>
      <c r="E18" s="407"/>
      <c r="F18" s="407"/>
      <c r="G18" s="407"/>
      <c r="H18" s="407"/>
      <c r="I18" s="203"/>
      <c r="J18" s="203"/>
      <c r="K18" s="406" t="s">
        <v>112</v>
      </c>
      <c r="L18" s="407"/>
      <c r="M18" s="407"/>
      <c r="N18" s="407"/>
      <c r="O18" s="407"/>
      <c r="P18" s="407"/>
      <c r="Q18" s="407"/>
    </row>
    <row r="19" spans="2:17" ht="13.5" customHeight="1" thickTop="1">
      <c r="B19" s="230"/>
      <c r="C19" s="231"/>
      <c r="D19" s="231"/>
      <c r="E19" s="231"/>
      <c r="F19" s="232" t="s">
        <v>45</v>
      </c>
      <c r="G19" s="233" t="s">
        <v>110</v>
      </c>
      <c r="H19" s="234" t="s">
        <v>111</v>
      </c>
      <c r="I19" s="203"/>
      <c r="J19" s="203"/>
      <c r="K19" s="230"/>
      <c r="L19" s="231"/>
      <c r="M19" s="231"/>
      <c r="N19" s="231"/>
      <c r="O19" s="232" t="s">
        <v>45</v>
      </c>
      <c r="P19" s="233" t="s">
        <v>113</v>
      </c>
      <c r="Q19" s="234" t="s">
        <v>111</v>
      </c>
    </row>
    <row r="20" spans="2:17" ht="15" customHeight="1" thickBot="1">
      <c r="B20" s="235" t="s">
        <v>109</v>
      </c>
      <c r="C20" s="224"/>
      <c r="D20" s="224"/>
      <c r="E20" s="224"/>
      <c r="F20" s="236">
        <f>Q16</f>
        <v>628663.38</v>
      </c>
      <c r="G20" s="237">
        <f>((hypothèses!G21*hypothèses!G22/hypothèses!G26)+(hypothèses!H21*hypothèses!H22/hypothèses!H26)+(hypothèses!I21*hypothèses!I22/hypothèses!I26))*3</f>
        <v>3060000</v>
      </c>
      <c r="H20" s="238">
        <f>F20/G20</f>
        <v>0.20544554901960785</v>
      </c>
      <c r="I20" s="203"/>
      <c r="J20" s="203"/>
      <c r="K20" s="235" t="s">
        <v>109</v>
      </c>
      <c r="L20" s="224"/>
      <c r="M20" s="224"/>
      <c r="N20" s="224"/>
      <c r="O20" s="236">
        <f>Q16*4</f>
        <v>2514653.52</v>
      </c>
      <c r="P20" s="237">
        <f>hypothèses!P31</f>
        <v>2391712.83</v>
      </c>
      <c r="Q20" s="238">
        <f>O20/P20</f>
        <v>1.0514027806590811</v>
      </c>
    </row>
    <row r="21" spans="2:17" ht="13.5" customHeight="1" thickTop="1"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2:17" ht="13.5" customHeight="1"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</row>
  </sheetData>
  <sheetProtection sheet="1" objects="1" scenarios="1"/>
  <mergeCells count="6">
    <mergeCell ref="G2:L2"/>
    <mergeCell ref="B6:H6"/>
    <mergeCell ref="B18:H18"/>
    <mergeCell ref="K18:Q18"/>
    <mergeCell ref="B7:H7"/>
    <mergeCell ref="K7:Q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showGridLines="0" workbookViewId="0">
      <selection activeCell="Q4" sqref="Q4"/>
    </sheetView>
  </sheetViews>
  <sheetFormatPr baseColWidth="10" defaultRowHeight="12.75"/>
  <cols>
    <col min="1" max="1" width="19.5703125" customWidth="1"/>
    <col min="2" max="2" width="3.42578125" customWidth="1"/>
    <col min="6" max="6" width="16.42578125" customWidth="1"/>
    <col min="7" max="7" width="18.28515625" style="15" customWidth="1"/>
    <col min="8" max="8" width="3.85546875" customWidth="1"/>
    <col min="9" max="9" width="4.140625" customWidth="1"/>
    <col min="10" max="10" width="12.7109375" bestFit="1" customWidth="1"/>
    <col min="11" max="11" width="12.140625" bestFit="1" customWidth="1"/>
  </cols>
  <sheetData>
    <row r="1" spans="1:11" s="36" customFormat="1" ht="15">
      <c r="G1" s="37"/>
    </row>
    <row r="2" spans="1:11" s="36" customFormat="1" ht="15.75">
      <c r="A2" s="62" t="s">
        <v>63</v>
      </c>
      <c r="C2" s="412" t="s">
        <v>150</v>
      </c>
      <c r="D2" s="412"/>
      <c r="E2" s="412"/>
      <c r="F2" s="412"/>
      <c r="G2" s="413"/>
      <c r="I2" s="36" t="s">
        <v>151</v>
      </c>
    </row>
    <row r="3" spans="1:11" s="36" customFormat="1" ht="15.75" thickBot="1">
      <c r="G3" s="37"/>
    </row>
    <row r="4" spans="1:11" s="36" customFormat="1" ht="15.75" thickTop="1">
      <c r="B4" s="38"/>
      <c r="C4" s="39"/>
      <c r="D4" s="39"/>
      <c r="E4" s="39"/>
      <c r="F4" s="39"/>
      <c r="G4" s="40"/>
      <c r="H4" s="41"/>
    </row>
    <row r="5" spans="1:11" s="36" customFormat="1" ht="15.75">
      <c r="B5" s="42"/>
      <c r="C5" s="43" t="s">
        <v>44</v>
      </c>
      <c r="D5" s="44"/>
      <c r="E5" s="44"/>
      <c r="F5" s="44"/>
      <c r="G5" s="45"/>
      <c r="H5" s="46"/>
    </row>
    <row r="6" spans="1:11" s="36" customFormat="1" ht="15">
      <c r="B6" s="42"/>
      <c r="C6" s="44"/>
      <c r="D6" s="44"/>
      <c r="E6" s="44" t="s">
        <v>45</v>
      </c>
      <c r="F6" s="44"/>
      <c r="G6" s="47">
        <f>Résultat!H16</f>
        <v>-27871.619999999995</v>
      </c>
      <c r="H6" s="46"/>
    </row>
    <row r="7" spans="1:11" s="36" customFormat="1" ht="15">
      <c r="B7" s="42"/>
      <c r="C7" s="44"/>
      <c r="D7" s="44"/>
      <c r="E7" s="44" t="s">
        <v>46</v>
      </c>
      <c r="F7" s="44"/>
      <c r="G7" s="47">
        <f>hypothèses!G41*3</f>
        <v>63750.12</v>
      </c>
      <c r="H7" s="46"/>
      <c r="I7" s="143"/>
    </row>
    <row r="8" spans="1:11" s="36" customFormat="1" ht="15.75" thickBot="1">
      <c r="B8" s="42"/>
      <c r="C8" s="44"/>
      <c r="D8" s="44"/>
      <c r="E8" s="44" t="s">
        <v>47</v>
      </c>
      <c r="F8" s="44"/>
      <c r="G8" s="47">
        <f>hypothèses!Q43-hypothèses!P43</f>
        <v>0</v>
      </c>
      <c r="H8" s="46"/>
      <c r="I8" s="101"/>
    </row>
    <row r="9" spans="1:11" s="36" customFormat="1" ht="15.75">
      <c r="B9" s="42"/>
      <c r="C9" s="44"/>
      <c r="D9" s="44"/>
      <c r="E9" s="43" t="s">
        <v>48</v>
      </c>
      <c r="F9" s="44"/>
      <c r="G9" s="48">
        <f>SUM(G6:G8)</f>
        <v>35878.500000000007</v>
      </c>
      <c r="H9" s="46"/>
      <c r="I9" s="101"/>
    </row>
    <row r="10" spans="1:11" s="36" customFormat="1" ht="15.75">
      <c r="B10" s="42"/>
      <c r="C10" s="43" t="s">
        <v>49</v>
      </c>
      <c r="D10" s="44"/>
      <c r="E10" s="44"/>
      <c r="F10" s="44"/>
      <c r="G10" s="45"/>
      <c r="H10" s="46"/>
    </row>
    <row r="11" spans="1:11" s="36" customFormat="1" ht="15">
      <c r="B11" s="42"/>
      <c r="C11" s="44"/>
      <c r="D11" s="44"/>
      <c r="E11" s="44" t="s">
        <v>34</v>
      </c>
      <c r="F11" s="44"/>
      <c r="G11" s="47">
        <f>-(hypothèses!N15*hypothèses!O15+hypothèses!N16*hypothèses!O16)</f>
        <v>0</v>
      </c>
      <c r="H11" s="46"/>
      <c r="J11" s="341" t="str">
        <f>hypothèses!I8</f>
        <v>trimestre 4</v>
      </c>
      <c r="K11" s="341" t="str">
        <f>hypothèses!N8</f>
        <v>trimestre 1</v>
      </c>
    </row>
    <row r="12" spans="1:11" s="36" customFormat="1" ht="15.75" thickBot="1">
      <c r="B12" s="42"/>
      <c r="C12" s="44"/>
      <c r="D12" s="44"/>
      <c r="E12" s="44" t="s">
        <v>36</v>
      </c>
      <c r="F12" s="44"/>
      <c r="G12" s="47">
        <f>hypothèses!N18*hypothèses!O18+hypothèses!N19*hypothèses!O19</f>
        <v>0</v>
      </c>
      <c r="H12" s="46"/>
      <c r="J12" s="342">
        <f>G21</f>
        <v>167300</v>
      </c>
      <c r="K12" s="342">
        <f>G22</f>
        <v>203178.5</v>
      </c>
    </row>
    <row r="13" spans="1:11" s="36" customFormat="1" ht="15.75">
      <c r="B13" s="42"/>
      <c r="C13" s="44"/>
      <c r="D13" s="44"/>
      <c r="E13" s="43" t="s">
        <v>53</v>
      </c>
      <c r="F13" s="44"/>
      <c r="G13" s="48">
        <f>SUM(G11:G12)</f>
        <v>0</v>
      </c>
      <c r="H13" s="46"/>
    </row>
    <row r="14" spans="1:11" s="36" customFormat="1" ht="15.75">
      <c r="B14" s="42"/>
      <c r="C14" s="43" t="s">
        <v>50</v>
      </c>
      <c r="D14" s="44"/>
      <c r="E14" s="44"/>
      <c r="F14" s="44"/>
      <c r="G14" s="45"/>
      <c r="H14" s="46"/>
    </row>
    <row r="15" spans="1:11" s="36" customFormat="1" ht="15">
      <c r="B15" s="42"/>
      <c r="C15" s="44"/>
      <c r="D15" s="44"/>
      <c r="E15" s="44" t="s">
        <v>51</v>
      </c>
      <c r="F15" s="44"/>
      <c r="G15" s="47">
        <f>hypothèses!P32+hypothèses!P33</f>
        <v>0</v>
      </c>
      <c r="H15" s="46"/>
    </row>
    <row r="16" spans="1:11" s="36" customFormat="1" ht="15.75" thickBot="1">
      <c r="B16" s="42"/>
      <c r="C16" s="44"/>
      <c r="D16" s="44"/>
      <c r="E16" s="44" t="s">
        <v>52</v>
      </c>
      <c r="F16" s="44"/>
      <c r="G16" s="47">
        <f>-(hypothèses!P34+hypothèses!P35)</f>
        <v>0</v>
      </c>
      <c r="H16" s="46"/>
    </row>
    <row r="17" spans="2:8" s="36" customFormat="1" ht="15.75">
      <c r="B17" s="42"/>
      <c r="C17" s="44"/>
      <c r="D17" s="44"/>
      <c r="E17" s="43" t="s">
        <v>54</v>
      </c>
      <c r="F17" s="44"/>
      <c r="G17" s="48">
        <f>SUM(G15:G16)</f>
        <v>0</v>
      </c>
      <c r="H17" s="46"/>
    </row>
    <row r="18" spans="2:8" s="36" customFormat="1" ht="15.75" thickBot="1">
      <c r="B18" s="42"/>
      <c r="C18" s="44"/>
      <c r="D18" s="44"/>
      <c r="E18" s="44"/>
      <c r="F18" s="44"/>
      <c r="G18" s="45"/>
      <c r="H18" s="46"/>
    </row>
    <row r="19" spans="2:8" s="36" customFormat="1" ht="15.75">
      <c r="B19" s="42"/>
      <c r="C19" s="43" t="s">
        <v>55</v>
      </c>
      <c r="D19" s="44"/>
      <c r="E19" s="44"/>
      <c r="F19" s="44"/>
      <c r="G19" s="49">
        <f>G9+G13+G17</f>
        <v>35878.500000000007</v>
      </c>
      <c r="H19" s="46"/>
    </row>
    <row r="20" spans="2:8" s="36" customFormat="1" ht="15">
      <c r="B20" s="42"/>
      <c r="C20" s="44"/>
      <c r="D20" s="44"/>
      <c r="E20" s="44"/>
      <c r="F20" s="44"/>
      <c r="G20" s="45"/>
      <c r="H20" s="46"/>
    </row>
    <row r="21" spans="2:8" s="36" customFormat="1" ht="15.75" thickBot="1">
      <c r="B21" s="42"/>
      <c r="C21" s="44" t="s">
        <v>56</v>
      </c>
      <c r="D21" s="44"/>
      <c r="E21" s="44"/>
      <c r="F21" s="44"/>
      <c r="G21" s="70">
        <f>hypothèses!Q44</f>
        <v>167300</v>
      </c>
      <c r="H21" s="46"/>
    </row>
    <row r="22" spans="2:8" s="36" customFormat="1" ht="15.75">
      <c r="B22" s="42"/>
      <c r="C22" s="43" t="s">
        <v>57</v>
      </c>
      <c r="D22" s="44"/>
      <c r="E22" s="44"/>
      <c r="F22" s="44"/>
      <c r="G22" s="49">
        <f>G21+G19</f>
        <v>203178.5</v>
      </c>
      <c r="H22" s="46"/>
    </row>
    <row r="23" spans="2:8" s="36" customFormat="1" ht="15.75" thickBot="1">
      <c r="B23" s="50"/>
      <c r="C23" s="51"/>
      <c r="D23" s="51"/>
      <c r="E23" s="51"/>
      <c r="F23" s="51"/>
      <c r="G23" s="52"/>
      <c r="H23" s="53"/>
    </row>
    <row r="24" spans="2:8" s="36" customFormat="1" ht="15.75" thickTop="1">
      <c r="G24" s="37"/>
    </row>
  </sheetData>
  <sheetProtection sheet="1" objects="1" scenarios="1"/>
  <mergeCells count="1">
    <mergeCell ref="C2:G2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Mode d'emploi</vt:lpstr>
      <vt:lpstr>hypothèses</vt:lpstr>
      <vt:lpstr>Synthèse des résultats</vt:lpstr>
      <vt:lpstr>Marges</vt:lpstr>
      <vt:lpstr>Résultat</vt:lpstr>
      <vt:lpstr>Flux trésorerie</vt:lpstr>
    </vt:vector>
  </TitlesOfParts>
  <Company>arkhe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2018-10-15T06:58:16Z</cp:lastPrinted>
  <dcterms:created xsi:type="dcterms:W3CDTF">2008-04-17T06:52:39Z</dcterms:created>
  <dcterms:modified xsi:type="dcterms:W3CDTF">2018-10-16T11:44:04Z</dcterms:modified>
</cp:coreProperties>
</file>