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ede\Desktop\Cours 2020 2021\ESIEE\Controle de gestion\2021 2022\"/>
    </mc:Choice>
  </mc:AlternateContent>
  <bookViews>
    <workbookView xWindow="-120" yWindow="-120" windowWidth="20736" windowHeight="11160"/>
  </bookViews>
  <sheets>
    <sheet name="SAGO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G44" i="1"/>
  <c r="E44" i="1"/>
  <c r="D23" i="1"/>
  <c r="B89" i="1" l="1"/>
  <c r="E33" i="1"/>
  <c r="D47" i="1" l="1"/>
  <c r="C48" i="1" s="1"/>
  <c r="D33" i="1"/>
  <c r="E34" i="1" l="1"/>
  <c r="I73" i="1" l="1"/>
  <c r="I64" i="1"/>
  <c r="D67" i="1"/>
  <c r="F67" i="1" s="1"/>
  <c r="H68" i="1" s="1"/>
  <c r="H59" i="1"/>
  <c r="C24" i="1"/>
  <c r="C16" i="1" l="1"/>
  <c r="E6" i="1"/>
  <c r="C19" i="1" s="1"/>
  <c r="D62" i="1" l="1"/>
  <c r="D19" i="1"/>
  <c r="C25" i="1"/>
  <c r="E7" i="1"/>
  <c r="C17" i="1" s="1"/>
  <c r="C18" i="1" s="1"/>
  <c r="D16" i="1"/>
  <c r="D20" i="1" l="1"/>
  <c r="C20" i="1"/>
  <c r="D18" i="1"/>
  <c r="D61" i="1"/>
  <c r="D17" i="1"/>
  <c r="E62" i="1"/>
  <c r="E71" i="1" s="1"/>
  <c r="D71" i="1"/>
  <c r="F71" i="1" s="1"/>
  <c r="F62" i="1"/>
  <c r="D34" i="1" l="1"/>
  <c r="C23" i="1"/>
  <c r="H62" i="1"/>
  <c r="G62" i="1"/>
  <c r="D70" i="1"/>
  <c r="E61" i="1"/>
  <c r="D63" i="1"/>
  <c r="G71" i="1"/>
  <c r="H71" i="1"/>
  <c r="C26" i="1" l="1"/>
  <c r="D52" i="1"/>
  <c r="D53" i="1" s="1"/>
  <c r="I71" i="1"/>
  <c r="D72" i="1"/>
  <c r="E63" i="1"/>
  <c r="E72" i="1" s="1"/>
  <c r="G61" i="1"/>
  <c r="E70" i="1"/>
  <c r="G70" i="1" s="1"/>
  <c r="G63" i="1"/>
  <c r="I61" i="1" l="1"/>
  <c r="F63" i="1"/>
  <c r="I70" i="1"/>
  <c r="F70" i="1"/>
  <c r="F72" i="1" s="1"/>
  <c r="G72" i="1"/>
  <c r="I72" i="1"/>
  <c r="I74" i="1" s="1"/>
  <c r="H70" i="1" l="1"/>
  <c r="H72" i="1" s="1"/>
  <c r="D75" i="1"/>
  <c r="I63" i="1"/>
  <c r="I65" i="1" s="1"/>
  <c r="H61" i="1"/>
  <c r="H63" i="1" s="1"/>
</calcChain>
</file>

<file path=xl/sharedStrings.xml><?xml version="1.0" encoding="utf-8"?>
<sst xmlns="http://schemas.openxmlformats.org/spreadsheetml/2006/main" count="87" uniqueCount="69">
  <si>
    <t>Achat de matières et fournitures</t>
  </si>
  <si>
    <t>Charges Fixes de personnel</t>
  </si>
  <si>
    <t>Charges variables de personnel</t>
  </si>
  <si>
    <t>Charges financieres</t>
  </si>
  <si>
    <t>Dotation aux amortissements</t>
  </si>
  <si>
    <t>Previsions des ventes</t>
  </si>
  <si>
    <t>Prix moyen des produits vendus</t>
  </si>
  <si>
    <t>//Activité sur 12 mois de 30 jours</t>
  </si>
  <si>
    <t>Taux de Rentabilité</t>
  </si>
  <si>
    <t>1.)</t>
  </si>
  <si>
    <t>COMPTE DE RESULTAT DIFFERENTIEL</t>
  </si>
  <si>
    <t>Elements</t>
  </si>
  <si>
    <t>Montant</t>
  </si>
  <si>
    <t>%</t>
  </si>
  <si>
    <t>CA</t>
  </si>
  <si>
    <t>CV</t>
  </si>
  <si>
    <t>Marge CV</t>
  </si>
  <si>
    <t>CF</t>
  </si>
  <si>
    <t>R</t>
  </si>
  <si>
    <t>Charges Fixes externes</t>
  </si>
  <si>
    <t>Charges variables externes</t>
  </si>
  <si>
    <t>2.)</t>
  </si>
  <si>
    <t>SR</t>
  </si>
  <si>
    <t>jours</t>
  </si>
  <si>
    <t>3.)</t>
  </si>
  <si>
    <t>CA par jour</t>
  </si>
  <si>
    <t>Point mort</t>
  </si>
  <si>
    <t>Résultat</t>
  </si>
  <si>
    <t>H1</t>
  </si>
  <si>
    <t>H2</t>
  </si>
  <si>
    <t>Produits vendus</t>
  </si>
  <si>
    <t>Chiffres d'affaires</t>
  </si>
  <si>
    <t>4.)</t>
  </si>
  <si>
    <t>Taux de rentabilité = R/CA</t>
  </si>
  <si>
    <t>N=</t>
  </si>
  <si>
    <t>5.)</t>
  </si>
  <si>
    <t xml:space="preserve">Marge securité </t>
  </si>
  <si>
    <t>Indice de securité</t>
  </si>
  <si>
    <t>6.)</t>
  </si>
  <si>
    <t>marginale</t>
  </si>
  <si>
    <t>global</t>
  </si>
  <si>
    <t>Unitaire</t>
  </si>
  <si>
    <t>Global</t>
  </si>
  <si>
    <t>Cf</t>
  </si>
  <si>
    <t>CR</t>
  </si>
  <si>
    <t xml:space="preserve">Marge beneficiaire </t>
  </si>
  <si>
    <t>Minumum</t>
  </si>
  <si>
    <t>On peut remarquer des deux questions précédentes que si l'on vend moins que le Seuil de rentabilité qui est de 552 000€ par an alors on n'est pas rentable sur l'année, alors que dès que l'on gagne plus on se fait une marge de plus en plus conséquente.</t>
  </si>
  <si>
    <t>L'entreprise ne peut pas se permettre d'avoir une baisse de plus de 8% dans son chiffre d'affaires sinon elle sera déficitaire.</t>
  </si>
  <si>
    <t>7.)</t>
  </si>
  <si>
    <t>A partir du 2 decembre le produit sera rentable</t>
  </si>
  <si>
    <t>Afin que Monsieur Brita puisse se faire le plus de marge possible, il est nécessaire que celui-ci refuse la seconde hypothèse, en effet celui-ci serait soit obligé de vendre plus chère que son prix de vente habituel ou vendrait à perte ce qui n'est pas envisageable pour une entreprise, alors qu'avec la première hypothése il se fait une marge plus conséquente que celle habituelle.</t>
  </si>
  <si>
    <t>Q</t>
  </si>
  <si>
    <t>R=MCV-CF</t>
  </si>
  <si>
    <t>R=0,4167*CA-230000</t>
  </si>
  <si>
    <t>12%*CA=(0,4167,*CA-230000)</t>
  </si>
  <si>
    <t>0,12*CA=0,4167*CA-230000</t>
  </si>
  <si>
    <t>0,2967*CA=230000</t>
  </si>
  <si>
    <t>CA=</t>
  </si>
  <si>
    <t>Il faut vendre51680 carafes afin d'obtenir un taux de rentabilité de 12 %</t>
  </si>
  <si>
    <t>0,4167CA-230000</t>
  </si>
  <si>
    <t>0,4667-300000</t>
  </si>
  <si>
    <t>0,4667CA-300000</t>
  </si>
  <si>
    <t>12%*15*Q=(0,4167,*15*Q-230000)</t>
  </si>
  <si>
    <t>Q=</t>
  </si>
  <si>
    <t>-</t>
  </si>
  <si>
    <t>CA-SR</t>
  </si>
  <si>
    <t>MS/CA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</si>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</sst>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9" fontId="0" fillId="0" borderId="4" xfId="0" applyNumberFormat="1" applyBorder="1"/>
    <xf numFmtId="44" fontId="0" fillId="0" borderId="6" xfId="1" applyFont="1" applyBorder="1"/>
    <xf numFmtId="0" fontId="0" fillId="0" borderId="6" xfId="0" applyBorder="1"/>
    <xf numFmtId="44" fontId="0" fillId="0" borderId="9" xfId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0" fillId="0" borderId="1" xfId="0" applyNumberFormat="1" applyBorder="1"/>
    <xf numFmtId="44" fontId="0" fillId="0" borderId="8" xfId="0" applyNumberFormat="1" applyBorder="1"/>
    <xf numFmtId="44" fontId="0" fillId="0" borderId="6" xfId="0" applyNumberFormat="1" applyBorder="1"/>
    <xf numFmtId="9" fontId="0" fillId="0" borderId="6" xfId="2" applyFont="1" applyBorder="1"/>
    <xf numFmtId="44" fontId="0" fillId="0" borderId="0" xfId="0" applyNumberFormat="1"/>
    <xf numFmtId="0" fontId="4" fillId="0" borderId="2" xfId="0" applyFont="1" applyFill="1" applyBorder="1" applyAlignment="1">
      <alignment horizontal="center"/>
    </xf>
    <xf numFmtId="44" fontId="0" fillId="0" borderId="4" xfId="0" applyNumberFormat="1" applyBorder="1"/>
    <xf numFmtId="0" fontId="4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Border="1"/>
    <xf numFmtId="0" fontId="0" fillId="0" borderId="0" xfId="0" applyAlignment="1">
      <alignment horizontal="right"/>
    </xf>
    <xf numFmtId="44" fontId="0" fillId="0" borderId="4" xfId="0" applyNumberFormat="1" applyBorder="1" applyAlignment="1">
      <alignment horizontal="center"/>
    </xf>
    <xf numFmtId="9" fontId="3" fillId="3" borderId="9" xfId="4" applyNumberFormat="1" applyBorder="1" applyAlignment="1">
      <alignment horizontal="center"/>
    </xf>
    <xf numFmtId="8" fontId="0" fillId="0" borderId="0" xfId="0" applyNumberFormat="1"/>
    <xf numFmtId="8" fontId="0" fillId="0" borderId="1" xfId="0" applyNumberFormat="1" applyBorder="1"/>
    <xf numFmtId="8" fontId="0" fillId="0" borderId="6" xfId="0" applyNumberFormat="1" applyBorder="1"/>
    <xf numFmtId="8" fontId="0" fillId="0" borderId="8" xfId="0" applyNumberFormat="1" applyBorder="1"/>
    <xf numFmtId="0" fontId="4" fillId="0" borderId="6" xfId="0" applyFont="1" applyBorder="1"/>
    <xf numFmtId="8" fontId="0" fillId="0" borderId="21" xfId="0" applyNumberFormat="1" applyBorder="1"/>
    <xf numFmtId="44" fontId="0" fillId="0" borderId="21" xfId="0" applyNumberFormat="1" applyBorder="1"/>
    <xf numFmtId="8" fontId="0" fillId="0" borderId="22" xfId="0" applyNumberFormat="1" applyBorder="1"/>
    <xf numFmtId="44" fontId="0" fillId="0" borderId="4" xfId="1" applyFont="1" applyBorder="1"/>
    <xf numFmtId="44" fontId="2" fillId="2" borderId="9" xfId="3" applyNumberFormat="1" applyBorder="1"/>
    <xf numFmtId="44" fontId="3" fillId="3" borderId="9" xfId="4" applyNumberFormat="1" applyBorder="1"/>
    <xf numFmtId="9" fontId="0" fillId="0" borderId="0" xfId="2" applyFont="1"/>
    <xf numFmtId="0" fontId="0" fillId="0" borderId="0" xfId="0" applyAlignment="1">
      <alignment wrapText="1"/>
    </xf>
    <xf numFmtId="1" fontId="0" fillId="0" borderId="9" xfId="0" applyNumberFormat="1" applyBorder="1"/>
    <xf numFmtId="1" fontId="0" fillId="0" borderId="0" xfId="0" applyNumberFormat="1"/>
    <xf numFmtId="10" fontId="0" fillId="0" borderId="6" xfId="2" applyNumberFormat="1" applyFont="1" applyBorder="1"/>
    <xf numFmtId="44" fontId="0" fillId="4" borderId="6" xfId="1" applyFont="1" applyFill="1" applyBorder="1"/>
    <xf numFmtId="165" fontId="0" fillId="0" borderId="1" xfId="0" applyNumberFormat="1" applyBorder="1"/>
    <xf numFmtId="165" fontId="3" fillId="3" borderId="1" xfId="4" applyNumberFormat="1" applyBorder="1"/>
    <xf numFmtId="1" fontId="0" fillId="0" borderId="0" xfId="0" applyNumberFormat="1" applyAlignment="1">
      <alignment horizontal="center"/>
    </xf>
    <xf numFmtId="165" fontId="0" fillId="0" borderId="0" xfId="0" applyNumberForma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</cellXfs>
  <cellStyles count="5">
    <cellStyle name="Insatisfaisant" xfId="4" builtinId="27"/>
    <cellStyle name="Monétaire" xfId="1" builtinId="4"/>
    <cellStyle name="Normal" xfId="0" builtinId="0"/>
    <cellStyle name="Pourcentage" xfId="2" builtinId="5"/>
    <cellStyle name="Satisfaisant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65" zoomScale="160" zoomScaleNormal="160" workbookViewId="0">
      <selection activeCell="B78" sqref="B78:I81"/>
    </sheetView>
  </sheetViews>
  <sheetFormatPr baseColWidth="10" defaultRowHeight="14.4" x14ac:dyDescent="0.3"/>
  <cols>
    <col min="3" max="3" width="12.88671875" bestFit="1" customWidth="1"/>
    <col min="4" max="4" width="13.44140625" customWidth="1"/>
    <col min="5" max="5" width="17.109375" customWidth="1"/>
    <col min="6" max="6" width="13.109375" bestFit="1" customWidth="1"/>
    <col min="8" max="8" width="13.88671875" customWidth="1"/>
  </cols>
  <sheetData>
    <row r="1" spans="1:7" ht="15" thickBot="1" x14ac:dyDescent="0.35"/>
    <row r="2" spans="1:7" x14ac:dyDescent="0.3">
      <c r="B2" s="50" t="s">
        <v>8</v>
      </c>
      <c r="C2" s="51"/>
      <c r="D2" s="51"/>
      <c r="E2" s="2">
        <v>0.12</v>
      </c>
      <c r="G2" t="s">
        <v>7</v>
      </c>
    </row>
    <row r="3" spans="1:7" x14ac:dyDescent="0.3">
      <c r="B3" s="52" t="s">
        <v>0</v>
      </c>
      <c r="C3" s="53"/>
      <c r="D3" s="53"/>
      <c r="E3" s="45">
        <v>170000</v>
      </c>
    </row>
    <row r="4" spans="1:7" x14ac:dyDescent="0.3">
      <c r="B4" s="54" t="s">
        <v>19</v>
      </c>
      <c r="C4" s="55"/>
      <c r="D4" s="55"/>
      <c r="E4" s="3">
        <v>60000</v>
      </c>
    </row>
    <row r="5" spans="1:7" x14ac:dyDescent="0.3">
      <c r="B5" s="52" t="s">
        <v>20</v>
      </c>
      <c r="C5" s="53"/>
      <c r="D5" s="53"/>
      <c r="E5" s="45">
        <v>60000</v>
      </c>
    </row>
    <row r="6" spans="1:7" x14ac:dyDescent="0.3">
      <c r="B6" s="54" t="s">
        <v>1</v>
      </c>
      <c r="C6" s="55"/>
      <c r="D6" s="55"/>
      <c r="E6" s="3">
        <f>200000*40%</f>
        <v>80000</v>
      </c>
    </row>
    <row r="7" spans="1:7" x14ac:dyDescent="0.3">
      <c r="B7" s="52" t="s">
        <v>2</v>
      </c>
      <c r="C7" s="53"/>
      <c r="D7" s="53"/>
      <c r="E7" s="45">
        <f>200000-E6</f>
        <v>120000</v>
      </c>
    </row>
    <row r="8" spans="1:7" x14ac:dyDescent="0.3">
      <c r="B8" s="54" t="s">
        <v>3</v>
      </c>
      <c r="C8" s="55"/>
      <c r="D8" s="55"/>
      <c r="E8" s="3">
        <v>10000</v>
      </c>
    </row>
    <row r="9" spans="1:7" x14ac:dyDescent="0.3">
      <c r="B9" s="54" t="s">
        <v>4</v>
      </c>
      <c r="C9" s="55"/>
      <c r="D9" s="55"/>
      <c r="E9" s="3">
        <v>80000</v>
      </c>
    </row>
    <row r="10" spans="1:7" x14ac:dyDescent="0.3">
      <c r="B10" s="54" t="s">
        <v>5</v>
      </c>
      <c r="C10" s="55"/>
      <c r="D10" s="55"/>
      <c r="E10" s="4">
        <v>40000</v>
      </c>
    </row>
    <row r="11" spans="1:7" ht="15" thickBot="1" x14ac:dyDescent="0.35">
      <c r="B11" s="58" t="s">
        <v>6</v>
      </c>
      <c r="C11" s="59"/>
      <c r="D11" s="59"/>
      <c r="E11" s="5">
        <v>15</v>
      </c>
    </row>
    <row r="13" spans="1:7" x14ac:dyDescent="0.3">
      <c r="A13" s="6" t="s">
        <v>9</v>
      </c>
      <c r="B13" s="7" t="s">
        <v>10</v>
      </c>
      <c r="C13" s="8"/>
      <c r="D13" s="8"/>
    </row>
    <row r="14" spans="1:7" ht="15" thickBot="1" x14ac:dyDescent="0.35"/>
    <row r="15" spans="1:7" x14ac:dyDescent="0.3">
      <c r="B15" s="10" t="s">
        <v>11</v>
      </c>
      <c r="C15" s="11" t="s">
        <v>12</v>
      </c>
      <c r="D15" s="12" t="s">
        <v>13</v>
      </c>
    </row>
    <row r="16" spans="1:7" x14ac:dyDescent="0.3">
      <c r="B16" s="13" t="s">
        <v>14</v>
      </c>
      <c r="C16" s="15">
        <f>E10*E11</f>
        <v>600000</v>
      </c>
      <c r="D16" s="18">
        <f>C16/600000</f>
        <v>1</v>
      </c>
    </row>
    <row r="17" spans="1:13" x14ac:dyDescent="0.3">
      <c r="B17" s="13" t="s">
        <v>15</v>
      </c>
      <c r="C17" s="15">
        <f>E3+E5+E7</f>
        <v>350000</v>
      </c>
      <c r="D17" s="18">
        <f t="shared" ref="D17:D19" si="0">C17/600000</f>
        <v>0.58333333333333337</v>
      </c>
    </row>
    <row r="18" spans="1:13" x14ac:dyDescent="0.3">
      <c r="B18" s="13" t="s">
        <v>16</v>
      </c>
      <c r="C18" s="15">
        <f>C16-C17</f>
        <v>250000</v>
      </c>
      <c r="D18" s="44">
        <f>C18/600000</f>
        <v>0.41666666666666669</v>
      </c>
      <c r="F18" s="19"/>
      <c r="G18" s="40"/>
    </row>
    <row r="19" spans="1:13" x14ac:dyDescent="0.3">
      <c r="B19" s="13" t="s">
        <v>17</v>
      </c>
      <c r="C19" s="15">
        <f>E4+E6+E8+E9</f>
        <v>230000</v>
      </c>
      <c r="D19" s="18">
        <f t="shared" si="0"/>
        <v>0.38333333333333336</v>
      </c>
    </row>
    <row r="20" spans="1:13" ht="15" thickBot="1" x14ac:dyDescent="0.35">
      <c r="B20" s="14" t="s">
        <v>18</v>
      </c>
      <c r="C20" s="16">
        <f>C18-C19</f>
        <v>20000</v>
      </c>
      <c r="D20" s="44">
        <f>C20/600000</f>
        <v>3.3333333333333333E-2</v>
      </c>
      <c r="E20" s="19"/>
    </row>
    <row r="22" spans="1:13" ht="15" thickBot="1" x14ac:dyDescent="0.35">
      <c r="A22" s="6" t="s">
        <v>21</v>
      </c>
      <c r="E22" s="19"/>
    </row>
    <row r="23" spans="1:13" x14ac:dyDescent="0.3">
      <c r="B23" s="20" t="s">
        <v>22</v>
      </c>
      <c r="C23" s="21">
        <f>C19/D18</f>
        <v>552000</v>
      </c>
      <c r="D23" s="19">
        <f>C23/15</f>
        <v>36800</v>
      </c>
    </row>
    <row r="24" spans="1:13" ht="15" thickBot="1" x14ac:dyDescent="0.35">
      <c r="B24" s="22" t="s">
        <v>23</v>
      </c>
      <c r="C24" s="23">
        <f>12*30</f>
        <v>360</v>
      </c>
    </row>
    <row r="25" spans="1:13" ht="15" thickBot="1" x14ac:dyDescent="0.35">
      <c r="B25" s="22" t="s">
        <v>25</v>
      </c>
      <c r="C25" s="17">
        <f>C16/C24</f>
        <v>1666.6666666666667</v>
      </c>
      <c r="E25" s="66" t="s">
        <v>50</v>
      </c>
      <c r="F25" s="67"/>
      <c r="G25" s="67"/>
      <c r="H25" s="68"/>
    </row>
    <row r="26" spans="1:13" ht="15" thickBot="1" x14ac:dyDescent="0.35">
      <c r="B26" s="24" t="s">
        <v>26</v>
      </c>
      <c r="C26" s="42">
        <f>(C23/C16)*360</f>
        <v>331.2</v>
      </c>
    </row>
    <row r="28" spans="1:13" x14ac:dyDescent="0.3">
      <c r="A28" s="6" t="s">
        <v>24</v>
      </c>
      <c r="B28" s="57" t="s">
        <v>53</v>
      </c>
      <c r="C28" s="57"/>
      <c r="D28" s="19"/>
    </row>
    <row r="29" spans="1:13" x14ac:dyDescent="0.3">
      <c r="B29" s="56" t="s">
        <v>54</v>
      </c>
      <c r="C29" s="56"/>
      <c r="E29" t="s">
        <v>61</v>
      </c>
    </row>
    <row r="31" spans="1:13" ht="14.4" customHeight="1" x14ac:dyDescent="0.3">
      <c r="D31" s="9" t="s">
        <v>28</v>
      </c>
      <c r="E31" s="9" t="s">
        <v>29</v>
      </c>
      <c r="M31" s="41"/>
    </row>
    <row r="32" spans="1:13" x14ac:dyDescent="0.3">
      <c r="B32" s="55" t="s">
        <v>30</v>
      </c>
      <c r="C32" s="55"/>
      <c r="D32" s="1">
        <v>30000</v>
      </c>
      <c r="E32" s="1">
        <v>40000</v>
      </c>
      <c r="M32" s="41"/>
    </row>
    <row r="33" spans="1:13" x14ac:dyDescent="0.3">
      <c r="B33" s="55" t="s">
        <v>31</v>
      </c>
      <c r="C33" s="55"/>
      <c r="D33" s="46">
        <f>D32*$E$11</f>
        <v>450000</v>
      </c>
      <c r="E33" s="46">
        <f>E32*$E$11</f>
        <v>600000</v>
      </c>
      <c r="M33" s="41"/>
    </row>
    <row r="34" spans="1:13" x14ac:dyDescent="0.3">
      <c r="B34" s="55" t="s">
        <v>27</v>
      </c>
      <c r="C34" s="55"/>
      <c r="D34" s="47">
        <f>D18*D33-$C$19</f>
        <v>-42500</v>
      </c>
      <c r="E34" s="47">
        <f>0.4167*E33-230000</f>
        <v>20020</v>
      </c>
      <c r="G34" s="41"/>
      <c r="H34" s="41"/>
      <c r="I34" s="41"/>
      <c r="J34" s="41"/>
      <c r="K34" s="41"/>
      <c r="L34" s="41"/>
      <c r="M34" s="41"/>
    </row>
    <row r="36" spans="1:13" ht="15" thickBot="1" x14ac:dyDescent="0.35">
      <c r="D36" s="49"/>
      <c r="E36" s="49"/>
    </row>
    <row r="37" spans="1:13" x14ac:dyDescent="0.3">
      <c r="F37" s="78" t="s">
        <v>47</v>
      </c>
      <c r="G37" s="79"/>
      <c r="H37" s="79"/>
      <c r="I37" s="79"/>
      <c r="J37" s="79"/>
      <c r="K37" s="80"/>
    </row>
    <row r="38" spans="1:13" x14ac:dyDescent="0.3">
      <c r="F38" s="84"/>
      <c r="G38" s="85"/>
      <c r="H38" s="85"/>
      <c r="I38" s="85"/>
      <c r="J38" s="85"/>
      <c r="K38" s="86"/>
    </row>
    <row r="39" spans="1:13" ht="15" thickBot="1" x14ac:dyDescent="0.35">
      <c r="F39" s="81"/>
      <c r="G39" s="82"/>
      <c r="H39" s="82"/>
      <c r="I39" s="82"/>
      <c r="J39" s="82"/>
      <c r="K39" s="83"/>
    </row>
    <row r="42" spans="1:13" x14ac:dyDescent="0.3">
      <c r="A42" s="6" t="s">
        <v>32</v>
      </c>
      <c r="B42" s="57" t="s">
        <v>33</v>
      </c>
      <c r="C42" s="57"/>
    </row>
    <row r="43" spans="1:13" x14ac:dyDescent="0.3">
      <c r="B43" s="57" t="s">
        <v>55</v>
      </c>
      <c r="C43" s="57"/>
      <c r="E43" s="57" t="s">
        <v>63</v>
      </c>
      <c r="F43" s="57"/>
    </row>
    <row r="44" spans="1:13" x14ac:dyDescent="0.3">
      <c r="B44" s="57" t="s">
        <v>56</v>
      </c>
      <c r="C44" s="57"/>
      <c r="E44">
        <f>0.12*15</f>
        <v>1.7999999999999998</v>
      </c>
      <c r="F44" t="s">
        <v>64</v>
      </c>
      <c r="G44">
        <f>0.4167*15</f>
        <v>6.2505000000000006</v>
      </c>
      <c r="H44" t="s">
        <v>52</v>
      </c>
      <c r="I44" t="s">
        <v>65</v>
      </c>
      <c r="J44">
        <v>230000</v>
      </c>
    </row>
    <row r="45" spans="1:13" x14ac:dyDescent="0.3">
      <c r="B45" s="57" t="s">
        <v>57</v>
      </c>
      <c r="C45" s="57"/>
    </row>
    <row r="46" spans="1:13" x14ac:dyDescent="0.3">
      <c r="B46" s="57" t="s">
        <v>57</v>
      </c>
      <c r="C46" s="57"/>
    </row>
    <row r="47" spans="1:13" x14ac:dyDescent="0.3">
      <c r="B47" s="57" t="s">
        <v>58</v>
      </c>
      <c r="C47" s="57"/>
      <c r="D47" s="43">
        <f>230000/0.2967</f>
        <v>775193.79844961234</v>
      </c>
    </row>
    <row r="48" spans="1:13" x14ac:dyDescent="0.3">
      <c r="B48" s="26" t="s">
        <v>34</v>
      </c>
      <c r="C48" s="48">
        <f>D47/15</f>
        <v>51679.586563307486</v>
      </c>
    </row>
    <row r="49" spans="1:12" ht="15" thickBot="1" x14ac:dyDescent="0.35">
      <c r="B49" s="57"/>
      <c r="C49" s="57"/>
    </row>
    <row r="50" spans="1:12" ht="15" thickBot="1" x14ac:dyDescent="0.35">
      <c r="B50" s="66" t="s">
        <v>59</v>
      </c>
      <c r="C50" s="67"/>
      <c r="D50" s="67"/>
      <c r="E50" s="67"/>
      <c r="F50" s="68"/>
    </row>
    <row r="51" spans="1:12" ht="15" thickBot="1" x14ac:dyDescent="0.35"/>
    <row r="52" spans="1:12" ht="14.4" customHeight="1" x14ac:dyDescent="0.3">
      <c r="A52" s="6" t="s">
        <v>35</v>
      </c>
      <c r="B52" s="50" t="s">
        <v>36</v>
      </c>
      <c r="C52" s="51"/>
      <c r="D52" s="27">
        <f>C16-C23</f>
        <v>48000</v>
      </c>
      <c r="E52" t="s">
        <v>66</v>
      </c>
      <c r="F52" s="78" t="s">
        <v>48</v>
      </c>
      <c r="G52" s="79"/>
      <c r="H52" s="79"/>
      <c r="I52" s="79"/>
      <c r="J52" s="80"/>
    </row>
    <row r="53" spans="1:12" ht="15" thickBot="1" x14ac:dyDescent="0.35">
      <c r="B53" s="58" t="s">
        <v>37</v>
      </c>
      <c r="C53" s="59"/>
      <c r="D53" s="28">
        <f>D52/C16</f>
        <v>0.08</v>
      </c>
      <c r="E53" t="s">
        <v>67</v>
      </c>
      <c r="F53" s="81"/>
      <c r="G53" s="82"/>
      <c r="H53" s="82"/>
      <c r="I53" s="82"/>
      <c r="J53" s="83"/>
    </row>
    <row r="54" spans="1:12" x14ac:dyDescent="0.3">
      <c r="F54" s="41"/>
      <c r="G54" s="41"/>
      <c r="H54" s="41"/>
      <c r="I54" s="41"/>
      <c r="J54" s="41"/>
    </row>
    <row r="55" spans="1:12" x14ac:dyDescent="0.3">
      <c r="E55" s="19"/>
    </row>
    <row r="57" spans="1:12" ht="15" thickBot="1" x14ac:dyDescent="0.35">
      <c r="A57" s="6" t="s">
        <v>38</v>
      </c>
    </row>
    <row r="58" spans="1:12" x14ac:dyDescent="0.3">
      <c r="B58" s="60" t="s">
        <v>28</v>
      </c>
      <c r="C58" s="61"/>
      <c r="D58" s="61">
        <v>40000</v>
      </c>
      <c r="E58" s="61"/>
      <c r="F58" s="61">
        <v>60000</v>
      </c>
      <c r="G58" s="61"/>
      <c r="H58" s="51" t="s">
        <v>39</v>
      </c>
      <c r="I58" s="65"/>
    </row>
    <row r="59" spans="1:12" x14ac:dyDescent="0.3">
      <c r="B59" s="62"/>
      <c r="C59" s="63"/>
      <c r="D59" s="63"/>
      <c r="E59" s="63"/>
      <c r="F59" s="63"/>
      <c r="G59" s="63"/>
      <c r="H59" s="55">
        <f>F58-D58</f>
        <v>20000</v>
      </c>
      <c r="I59" s="64"/>
    </row>
    <row r="60" spans="1:12" x14ac:dyDescent="0.3">
      <c r="B60" s="62"/>
      <c r="C60" s="63"/>
      <c r="D60" s="25" t="s">
        <v>40</v>
      </c>
      <c r="E60" s="25" t="s">
        <v>41</v>
      </c>
      <c r="F60" s="25" t="s">
        <v>42</v>
      </c>
      <c r="G60" s="25" t="s">
        <v>41</v>
      </c>
      <c r="H60" s="25" t="s">
        <v>42</v>
      </c>
      <c r="I60" s="33" t="s">
        <v>41</v>
      </c>
    </row>
    <row r="61" spans="1:12" x14ac:dyDescent="0.3">
      <c r="B61" s="54" t="s">
        <v>15</v>
      </c>
      <c r="C61" s="55"/>
      <c r="D61" s="15">
        <f>C17</f>
        <v>350000</v>
      </c>
      <c r="E61" s="30">
        <f>D61/D58</f>
        <v>8.75</v>
      </c>
      <c r="F61" s="30">
        <f>G61*F58</f>
        <v>525000</v>
      </c>
      <c r="G61" s="30">
        <f>E61</f>
        <v>8.75</v>
      </c>
      <c r="H61" s="30">
        <f>I61*H59</f>
        <v>175000</v>
      </c>
      <c r="I61" s="31">
        <f>G61</f>
        <v>8.75</v>
      </c>
    </row>
    <row r="62" spans="1:12" x14ac:dyDescent="0.3">
      <c r="B62" s="54" t="s">
        <v>43</v>
      </c>
      <c r="C62" s="55"/>
      <c r="D62" s="15">
        <f>C19</f>
        <v>230000</v>
      </c>
      <c r="E62" s="30">
        <f>D62/D58</f>
        <v>5.75</v>
      </c>
      <c r="F62" s="15">
        <f>D62</f>
        <v>230000</v>
      </c>
      <c r="G62" s="30">
        <f>F62/F58</f>
        <v>3.8333333333333335</v>
      </c>
      <c r="H62" s="15">
        <f>F62-D62</f>
        <v>0</v>
      </c>
      <c r="I62" s="31"/>
    </row>
    <row r="63" spans="1:12" ht="15" thickBot="1" x14ac:dyDescent="0.35">
      <c r="B63" s="58" t="s">
        <v>44</v>
      </c>
      <c r="C63" s="59"/>
      <c r="D63" s="16">
        <f>D62+D61</f>
        <v>580000</v>
      </c>
      <c r="E63" s="32">
        <f>D63/D58</f>
        <v>14.5</v>
      </c>
      <c r="F63" s="16">
        <f>F62+F61</f>
        <v>755000</v>
      </c>
      <c r="G63" s="34">
        <f>G62+G61</f>
        <v>12.583333333333334</v>
      </c>
      <c r="H63" s="34">
        <f>H61</f>
        <v>175000</v>
      </c>
      <c r="I63" s="36">
        <f>I61</f>
        <v>8.75</v>
      </c>
      <c r="L63" s="29"/>
    </row>
    <row r="64" spans="1:12" x14ac:dyDescent="0.3">
      <c r="G64" s="50" t="s">
        <v>45</v>
      </c>
      <c r="H64" s="51"/>
      <c r="I64" s="37">
        <f>5</f>
        <v>5</v>
      </c>
    </row>
    <row r="65" spans="1:9" ht="15" thickBot="1" x14ac:dyDescent="0.35">
      <c r="G65" s="58" t="s">
        <v>68</v>
      </c>
      <c r="H65" s="59"/>
      <c r="I65" s="38">
        <f>I64+I63</f>
        <v>13.75</v>
      </c>
    </row>
    <row r="66" spans="1:9" ht="15" thickBot="1" x14ac:dyDescent="0.35"/>
    <row r="67" spans="1:9" x14ac:dyDescent="0.3">
      <c r="B67" s="60" t="s">
        <v>29</v>
      </c>
      <c r="C67" s="61"/>
      <c r="D67" s="61">
        <f>D58</f>
        <v>40000</v>
      </c>
      <c r="E67" s="61"/>
      <c r="F67" s="61">
        <f>D67+30000</f>
        <v>70000</v>
      </c>
      <c r="G67" s="61"/>
      <c r="H67" s="51" t="s">
        <v>39</v>
      </c>
      <c r="I67" s="65"/>
    </row>
    <row r="68" spans="1:9" x14ac:dyDescent="0.3">
      <c r="B68" s="62"/>
      <c r="C68" s="63"/>
      <c r="D68" s="63"/>
      <c r="E68" s="63"/>
      <c r="F68" s="63"/>
      <c r="G68" s="63"/>
      <c r="H68" s="55">
        <f>F67-D67</f>
        <v>30000</v>
      </c>
      <c r="I68" s="64"/>
    </row>
    <row r="69" spans="1:9" x14ac:dyDescent="0.3">
      <c r="B69" s="62"/>
      <c r="C69" s="63"/>
      <c r="D69" s="25" t="s">
        <v>40</v>
      </c>
      <c r="E69" s="25" t="s">
        <v>41</v>
      </c>
      <c r="F69" s="25" t="s">
        <v>42</v>
      </c>
      <c r="G69" s="25" t="s">
        <v>41</v>
      </c>
      <c r="H69" s="25" t="s">
        <v>42</v>
      </c>
      <c r="I69" s="33" t="s">
        <v>41</v>
      </c>
    </row>
    <row r="70" spans="1:9" x14ac:dyDescent="0.3">
      <c r="B70" s="54" t="s">
        <v>15</v>
      </c>
      <c r="C70" s="55"/>
      <c r="D70" s="15">
        <f t="shared" ref="D70:E72" si="1">D61</f>
        <v>350000</v>
      </c>
      <c r="E70" s="30">
        <f t="shared" si="1"/>
        <v>8.75</v>
      </c>
      <c r="F70" s="30">
        <f>G70*F67</f>
        <v>612500</v>
      </c>
      <c r="G70" s="30">
        <f>E70</f>
        <v>8.75</v>
      </c>
      <c r="H70" s="30">
        <f>I70*H68</f>
        <v>262500</v>
      </c>
      <c r="I70" s="31">
        <f>G70</f>
        <v>8.75</v>
      </c>
    </row>
    <row r="71" spans="1:9" x14ac:dyDescent="0.3">
      <c r="B71" s="54" t="s">
        <v>43</v>
      </c>
      <c r="C71" s="55"/>
      <c r="D71" s="15">
        <f t="shared" si="1"/>
        <v>230000</v>
      </c>
      <c r="E71" s="30">
        <f t="shared" si="1"/>
        <v>5.75</v>
      </c>
      <c r="F71" s="15">
        <f>D71+50000</f>
        <v>280000</v>
      </c>
      <c r="G71" s="30">
        <f>F71/F67</f>
        <v>4</v>
      </c>
      <c r="H71" s="15">
        <f>F71-D71</f>
        <v>50000</v>
      </c>
      <c r="I71" s="31">
        <f>H71/H68</f>
        <v>1.6666666666666667</v>
      </c>
    </row>
    <row r="72" spans="1:9" ht="15" thickBot="1" x14ac:dyDescent="0.35">
      <c r="B72" s="58" t="s">
        <v>44</v>
      </c>
      <c r="C72" s="59"/>
      <c r="D72" s="16">
        <f t="shared" si="1"/>
        <v>580000</v>
      </c>
      <c r="E72" s="32">
        <f t="shared" si="1"/>
        <v>14.5</v>
      </c>
      <c r="F72" s="16">
        <f>F71+F70</f>
        <v>892500</v>
      </c>
      <c r="G72" s="34">
        <f>G71+G70</f>
        <v>12.75</v>
      </c>
      <c r="H72" s="35">
        <f>H71+H70</f>
        <v>312500</v>
      </c>
      <c r="I72" s="36">
        <f>I71+I70</f>
        <v>10.416666666666666</v>
      </c>
    </row>
    <row r="73" spans="1:9" x14ac:dyDescent="0.3">
      <c r="G73" s="50" t="s">
        <v>45</v>
      </c>
      <c r="H73" s="51"/>
      <c r="I73" s="37">
        <f>5</f>
        <v>5</v>
      </c>
    </row>
    <row r="74" spans="1:9" ht="15" thickBot="1" x14ac:dyDescent="0.35">
      <c r="G74" s="58" t="s">
        <v>46</v>
      </c>
      <c r="H74" s="59"/>
      <c r="I74" s="39">
        <f>I73+I72</f>
        <v>15.416666666666666</v>
      </c>
    </row>
    <row r="75" spans="1:9" x14ac:dyDescent="0.3">
      <c r="D75" s="29">
        <f>I70+(50000/30000)</f>
        <v>10.416666666666666</v>
      </c>
    </row>
    <row r="77" spans="1:9" ht="15" thickBot="1" x14ac:dyDescent="0.35"/>
    <row r="78" spans="1:9" ht="14.4" customHeight="1" x14ac:dyDescent="0.3">
      <c r="A78" s="6" t="s">
        <v>49</v>
      </c>
      <c r="B78" s="69" t="s">
        <v>51</v>
      </c>
      <c r="C78" s="70"/>
      <c r="D78" s="70"/>
      <c r="E78" s="70"/>
      <c r="F78" s="70"/>
      <c r="G78" s="70"/>
      <c r="H78" s="70"/>
      <c r="I78" s="71"/>
    </row>
    <row r="79" spans="1:9" x14ac:dyDescent="0.3">
      <c r="B79" s="72"/>
      <c r="C79" s="73"/>
      <c r="D79" s="73"/>
      <c r="E79" s="73"/>
      <c r="F79" s="73"/>
      <c r="G79" s="73"/>
      <c r="H79" s="73"/>
      <c r="I79" s="74"/>
    </row>
    <row r="80" spans="1:9" x14ac:dyDescent="0.3">
      <c r="B80" s="72"/>
      <c r="C80" s="73"/>
      <c r="D80" s="73"/>
      <c r="E80" s="73"/>
      <c r="F80" s="73"/>
      <c r="G80" s="73"/>
      <c r="H80" s="73"/>
      <c r="I80" s="74"/>
    </row>
    <row r="81" spans="2:9" ht="15" thickBot="1" x14ac:dyDescent="0.35">
      <c r="B81" s="75"/>
      <c r="C81" s="76"/>
      <c r="D81" s="76"/>
      <c r="E81" s="76"/>
      <c r="F81" s="76"/>
      <c r="G81" s="76"/>
      <c r="H81" s="76"/>
      <c r="I81" s="77"/>
    </row>
    <row r="85" spans="2:9" x14ac:dyDescent="0.3">
      <c r="B85" t="s">
        <v>60</v>
      </c>
    </row>
    <row r="87" spans="2:9" x14ac:dyDescent="0.3">
      <c r="B87" t="s">
        <v>62</v>
      </c>
    </row>
    <row r="89" spans="2:9" x14ac:dyDescent="0.3">
      <c r="B89">
        <f>70000/0.05</f>
        <v>1400000</v>
      </c>
      <c r="C89">
        <v>93334</v>
      </c>
    </row>
  </sheetData>
  <mergeCells count="50">
    <mergeCell ref="E43:F43"/>
    <mergeCell ref="E25:H25"/>
    <mergeCell ref="B78:I81"/>
    <mergeCell ref="G74:H74"/>
    <mergeCell ref="B50:F50"/>
    <mergeCell ref="F52:J53"/>
    <mergeCell ref="F37:K39"/>
    <mergeCell ref="B70:C70"/>
    <mergeCell ref="B71:C71"/>
    <mergeCell ref="B72:C72"/>
    <mergeCell ref="G65:H65"/>
    <mergeCell ref="G64:H64"/>
    <mergeCell ref="G73:H73"/>
    <mergeCell ref="B67:C69"/>
    <mergeCell ref="D67:E68"/>
    <mergeCell ref="F67:G68"/>
    <mergeCell ref="H67:I67"/>
    <mergeCell ref="H68:I68"/>
    <mergeCell ref="B63:C63"/>
    <mergeCell ref="H59:I59"/>
    <mergeCell ref="H58:I58"/>
    <mergeCell ref="F58:G59"/>
    <mergeCell ref="D58:E59"/>
    <mergeCell ref="B62:C62"/>
    <mergeCell ref="B49:C49"/>
    <mergeCell ref="B52:C52"/>
    <mergeCell ref="B53:C53"/>
    <mergeCell ref="B58:C60"/>
    <mergeCell ref="B61:C61"/>
    <mergeCell ref="B42:C42"/>
    <mergeCell ref="B47:C47"/>
    <mergeCell ref="B43:C43"/>
    <mergeCell ref="B44:C44"/>
    <mergeCell ref="B45:C45"/>
    <mergeCell ref="B46:C46"/>
    <mergeCell ref="B34:C34"/>
    <mergeCell ref="B33:C33"/>
    <mergeCell ref="B29:C29"/>
    <mergeCell ref="B28:C28"/>
    <mergeCell ref="B3:D3"/>
    <mergeCell ref="B9:D9"/>
    <mergeCell ref="B11:D11"/>
    <mergeCell ref="B10:D10"/>
    <mergeCell ref="B4:D4"/>
    <mergeCell ref="B32:C32"/>
    <mergeCell ref="B2:D2"/>
    <mergeCell ref="B7:D7"/>
    <mergeCell ref="B6:D6"/>
    <mergeCell ref="B5:D5"/>
    <mergeCell ref="B8:D8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SAGOS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</dc:creator>
  <cp:lastModifiedBy>Frederic DEBUIRE</cp:lastModifiedBy>
  <dcterms:created xsi:type="dcterms:W3CDTF">2019-01-24T11:51:27Z</dcterms:created>
  <dcterms:modified xsi:type="dcterms:W3CDTF">2021-12-09T08:37:23Z</dcterms:modified>
</cp:coreProperties>
</file>