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rede\Desktop\Cours 2020 2021\ESIEE\Controle de gestion\2021 2022\"/>
    </mc:Choice>
  </mc:AlternateContent>
  <bookViews>
    <workbookView xWindow="-120" yWindow="-120" windowWidth="20736" windowHeight="11160" activeTab="5"/>
  </bookViews>
  <sheets>
    <sheet name="restaurant" sheetId="8" r:id="rId1"/>
    <sheet name="patoze" sheetId="2" r:id="rId2"/>
    <sheet name="furax" sheetId="5" r:id="rId3"/>
    <sheet name="Feuil1" sheetId="7" r:id="rId4"/>
    <sheet name="autobus" sheetId="6" r:id="rId5"/>
    <sheet name="atkis" sheetId="9" r:id="rId6"/>
  </sheets>
  <externalReferences>
    <externalReference r:id="rId7"/>
    <externalReference r:id="rId8"/>
  </externalReferences>
  <definedNames>
    <definedName name="Charges_variables_unitaires">[1]Atkis!$C$5</definedName>
    <definedName name="Prix_de_vente">[1]Atkis!$C$1</definedName>
    <definedName name="PV">[2]SDA!$B$1</definedName>
    <definedName name="Quantité">[2]SDA!$B$2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9" l="1"/>
  <c r="G24" i="9" l="1"/>
  <c r="D9" i="8" l="1"/>
  <c r="E10" i="8"/>
  <c r="E9" i="8"/>
  <c r="C9" i="8"/>
  <c r="D8" i="8"/>
  <c r="C26" i="2"/>
  <c r="C22" i="2"/>
  <c r="C17" i="2"/>
  <c r="C34" i="8" l="1"/>
  <c r="D34" i="8"/>
  <c r="C32" i="8"/>
  <c r="B16" i="8"/>
  <c r="C16" i="8" s="1"/>
  <c r="B15" i="8"/>
  <c r="B14" i="8"/>
  <c r="J6" i="8"/>
  <c r="F12" i="5" l="1"/>
  <c r="B12" i="5"/>
  <c r="B11" i="5"/>
  <c r="C7" i="5"/>
  <c r="B7" i="5" l="1"/>
  <c r="E2" i="5"/>
  <c r="B6" i="5"/>
  <c r="D23" i="2" l="1"/>
  <c r="E23" i="2"/>
  <c r="F23" i="2"/>
  <c r="C23" i="2"/>
  <c r="D22" i="2"/>
  <c r="D24" i="2" s="1"/>
  <c r="E22" i="2"/>
  <c r="E24" i="2" s="1"/>
  <c r="F22" i="2"/>
  <c r="F24" i="2" s="1"/>
  <c r="C24" i="2"/>
  <c r="B39" i="2" l="1"/>
  <c r="F34" i="2"/>
  <c r="C31" i="2"/>
  <c r="D30" i="2"/>
  <c r="C8" i="2"/>
  <c r="E4" i="2"/>
  <c r="E5" i="2" s="1"/>
  <c r="D7" i="2" s="1"/>
  <c r="D3" i="2"/>
  <c r="D5" i="2" s="1"/>
  <c r="C11" i="2" l="1"/>
  <c r="G10" i="2" s="1"/>
  <c r="D19" i="2"/>
  <c r="C9" i="2"/>
  <c r="C10" i="2" s="1"/>
  <c r="F8" i="2"/>
  <c r="C12" i="2" l="1"/>
  <c r="D10" i="2"/>
</calcChain>
</file>

<file path=xl/sharedStrings.xml><?xml version="1.0" encoding="utf-8"?>
<sst xmlns="http://schemas.openxmlformats.org/spreadsheetml/2006/main" count="180" uniqueCount="141">
  <si>
    <t>Chiffre d'affaires</t>
  </si>
  <si>
    <t>-</t>
  </si>
  <si>
    <t>Coûts variables</t>
  </si>
  <si>
    <t>=</t>
  </si>
  <si>
    <t>Taux de marge sur coûts variables</t>
  </si>
  <si>
    <t>Coûts fixes</t>
  </si>
  <si>
    <t>Marge nette</t>
  </si>
  <si>
    <t>Taux de rentabilité</t>
  </si>
  <si>
    <t>PV</t>
  </si>
  <si>
    <t>Charges variables unitaires</t>
  </si>
  <si>
    <t>Marge sur coûts variables unitaire</t>
  </si>
  <si>
    <t>Quantité</t>
  </si>
  <si>
    <t>Total</t>
  </si>
  <si>
    <t>fixes</t>
  </si>
  <si>
    <t>Variables</t>
  </si>
  <si>
    <t>Coût unitaire de production</t>
  </si>
  <si>
    <t>Coût unitaire de distribution</t>
  </si>
  <si>
    <t>mscv unitaire</t>
  </si>
  <si>
    <t>MSCV</t>
  </si>
  <si>
    <t>taux mscv</t>
  </si>
  <si>
    <t>MSCV= Q*PV- Q*Cv unitaire</t>
  </si>
  <si>
    <t>MSCV=Q*mscv unitaire</t>
  </si>
  <si>
    <t>Q*(Pv-Cvuni)</t>
  </si>
  <si>
    <t>R</t>
  </si>
  <si>
    <t>100000 =27Q-725000</t>
  </si>
  <si>
    <t>Q</t>
  </si>
  <si>
    <t>27Q=825000</t>
  </si>
  <si>
    <t>Q=825000/27</t>
  </si>
  <si>
    <t>pdts</t>
  </si>
  <si>
    <t>R=27*Q-725000</t>
  </si>
  <si>
    <t>27*30000-725000</t>
  </si>
  <si>
    <t>27Q=</t>
  </si>
  <si>
    <t>CA-SR</t>
  </si>
  <si>
    <t>Indice de sécurité</t>
  </si>
  <si>
    <t>SR/CA*360</t>
  </si>
  <si>
    <t>MSCV unit</t>
  </si>
  <si>
    <t>CF</t>
  </si>
  <si>
    <t>Quantités</t>
  </si>
  <si>
    <t>MN</t>
  </si>
  <si>
    <t>Prix de vente</t>
  </si>
  <si>
    <t>SR</t>
  </si>
  <si>
    <t>d</t>
  </si>
  <si>
    <t>CA</t>
  </si>
  <si>
    <t>MS</t>
  </si>
  <si>
    <t>mn</t>
  </si>
  <si>
    <t>Charges variables</t>
  </si>
  <si>
    <t>matières</t>
  </si>
  <si>
    <t>production</t>
  </si>
  <si>
    <t>distri</t>
  </si>
  <si>
    <t xml:space="preserve">Mscv </t>
  </si>
  <si>
    <t>Autres</t>
  </si>
  <si>
    <t>taux de marge sur couts variables</t>
  </si>
  <si>
    <t>R/CA</t>
  </si>
  <si>
    <t>SR q</t>
  </si>
  <si>
    <t>PM</t>
  </si>
  <si>
    <t>Taux de rentabilite</t>
  </si>
  <si>
    <t>MN=MSCV-CF</t>
  </si>
  <si>
    <t>R=MSCV-CF</t>
  </si>
  <si>
    <t>CA*0,1=R</t>
  </si>
  <si>
    <t>0,1CA=0,5213CA-28675</t>
  </si>
  <si>
    <t>28675=0,5213 CA-0,1 Ca</t>
  </si>
  <si>
    <t>28675=0,4213CA</t>
  </si>
  <si>
    <t>CA=28675/0,4213</t>
  </si>
  <si>
    <t>Couts fixes</t>
  </si>
  <si>
    <t>Cout variable unitaire</t>
  </si>
  <si>
    <t>PU*Q-CV*Q-CF</t>
  </si>
  <si>
    <t>Mscv unitaire</t>
  </si>
  <si>
    <t>Sr en quantité</t>
  </si>
  <si>
    <t>Pu*50- 350*50- 2400=</t>
  </si>
  <si>
    <t>SR en valeur</t>
  </si>
  <si>
    <t>PU*50-17500-2400=0</t>
  </si>
  <si>
    <t>PU*50=19900</t>
  </si>
  <si>
    <t>Prix</t>
  </si>
  <si>
    <t>PU</t>
  </si>
  <si>
    <t>MN=0,5213CA-28675</t>
  </si>
  <si>
    <t>CP</t>
  </si>
  <si>
    <t>variable</t>
  </si>
  <si>
    <t>fixe</t>
  </si>
  <si>
    <t>taux=mcv/ca</t>
  </si>
  <si>
    <t>Marge nette Résultat</t>
  </si>
  <si>
    <t>a=b/c</t>
  </si>
  <si>
    <t>60-33</t>
  </si>
  <si>
    <t>MSCV = 27 Q</t>
  </si>
  <si>
    <t>Coût variable</t>
  </si>
  <si>
    <t>SrQ=CF/mscv unitaire</t>
  </si>
  <si>
    <t>Charges fixes</t>
  </si>
  <si>
    <t>mensuel</t>
  </si>
  <si>
    <t>24 jours</t>
  </si>
  <si>
    <t>annuel</t>
  </si>
  <si>
    <t>LOCAL</t>
  </si>
  <si>
    <t>SALAIRE</t>
  </si>
  <si>
    <t>SR Q</t>
  </si>
  <si>
    <t>AMT</t>
  </si>
  <si>
    <t>Nbe mois</t>
  </si>
  <si>
    <t>couverts par mois</t>
  </si>
  <si>
    <t>couverts par jour</t>
  </si>
  <si>
    <t>ca</t>
  </si>
  <si>
    <t>Ca mensuel</t>
  </si>
  <si>
    <t>cv</t>
  </si>
  <si>
    <t>mcv</t>
  </si>
  <si>
    <t>MSCV unitaire*Q-6600=0</t>
  </si>
  <si>
    <t>cf</t>
  </si>
  <si>
    <t>18Q=6600</t>
  </si>
  <si>
    <t>Taux de marge sur couts variables</t>
  </si>
  <si>
    <t>R=MSC-CF</t>
  </si>
  <si>
    <t>R=0,72*CA-6600</t>
  </si>
  <si>
    <t>80400=MSCV-CF</t>
  </si>
  <si>
    <t>80400=0,72CA-79200</t>
  </si>
  <si>
    <t>80400=0,72*Ca-79200</t>
  </si>
  <si>
    <t>80400=18*q-79200</t>
  </si>
  <si>
    <t>159600=0,72CA</t>
  </si>
  <si>
    <t>Q par jour</t>
  </si>
  <si>
    <t>MN= 27Q-725000</t>
  </si>
  <si>
    <t>SR valeur</t>
  </si>
  <si>
    <t>CF/taux MCV</t>
  </si>
  <si>
    <t>SR volume</t>
  </si>
  <si>
    <t>CF/mscv unit</t>
  </si>
  <si>
    <t>12*24</t>
  </si>
  <si>
    <t>Matières premières</t>
  </si>
  <si>
    <t>unitaire</t>
  </si>
  <si>
    <t>Autres charges variables</t>
  </si>
  <si>
    <t>Marge sur coûts variable unitaire</t>
  </si>
  <si>
    <t>Y=CV+CF</t>
  </si>
  <si>
    <t>Cv unitaire*N+CF</t>
  </si>
  <si>
    <t>Y=950N+750000</t>
  </si>
  <si>
    <t>Hypothèses</t>
  </si>
  <si>
    <t>CV</t>
  </si>
  <si>
    <t>CR</t>
  </si>
  <si>
    <t>Resultat</t>
  </si>
  <si>
    <t>Res unitaire</t>
  </si>
  <si>
    <t>IS</t>
  </si>
  <si>
    <t>CA-CV-CF=0</t>
  </si>
  <si>
    <t>Marge de sécurité</t>
  </si>
  <si>
    <t>MSCV-CF = 0</t>
  </si>
  <si>
    <t>Mscv unitaire*N-750000=0</t>
  </si>
  <si>
    <t>Mscv unitaire*N=750000</t>
  </si>
  <si>
    <t xml:space="preserve">POINT MORT </t>
  </si>
  <si>
    <t>550*N=750000</t>
  </si>
  <si>
    <t>N=750000/550</t>
  </si>
  <si>
    <t>SR Ca =CF/yaux de MSCV</t>
  </si>
  <si>
    <t>SrQté= CF/Mscv unitaire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</si>
</sst>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0"/>
      <name val="Calibri"/>
      <family val="2"/>
      <scheme val="minor"/>
    </font>
    <font>
      <sz val="14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9" fontId="2" fillId="0" borderId="0" xfId="1" applyFont="1"/>
    <xf numFmtId="0" fontId="5" fillId="0" borderId="0" xfId="0" applyFont="1"/>
    <xf numFmtId="0" fontId="6" fillId="0" borderId="0" xfId="0" applyFont="1"/>
    <xf numFmtId="1" fontId="2" fillId="0" borderId="0" xfId="0" applyNumberFormat="1" applyFont="1"/>
    <xf numFmtId="0" fontId="3" fillId="0" borderId="0" xfId="0" applyFont="1"/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1" fontId="2" fillId="0" borderId="0" xfId="0" applyNumberFormat="1" applyFont="1"/>
    <xf numFmtId="0" fontId="5" fillId="0" borderId="0" xfId="0" applyFont="1"/>
    <xf numFmtId="0" fontId="7" fillId="0" borderId="0" xfId="0" applyFont="1"/>
    <xf numFmtId="1" fontId="7" fillId="0" borderId="0" xfId="0" applyNumberFormat="1" applyFont="1"/>
    <xf numFmtId="10" fontId="3" fillId="0" borderId="0" xfId="1" applyNumberFormat="1" applyFont="1"/>
    <xf numFmtId="10" fontId="2" fillId="0" borderId="0" xfId="1" applyNumberFormat="1" applyFont="1"/>
    <xf numFmtId="0" fontId="3" fillId="0" borderId="0" xfId="0" applyFont="1" applyFill="1" applyBorder="1"/>
    <xf numFmtId="16" fontId="2" fillId="0" borderId="0" xfId="0" applyNumberFormat="1" applyFont="1"/>
    <xf numFmtId="11" fontId="2" fillId="0" borderId="0" xfId="0" applyNumberFormat="1" applyFont="1"/>
    <xf numFmtId="0" fontId="4" fillId="0" borderId="0" xfId="0" applyFont="1"/>
    <xf numFmtId="2" fontId="2" fillId="0" borderId="0" xfId="0" applyNumberFormat="1" applyFont="1"/>
    <xf numFmtId="1" fontId="5" fillId="0" borderId="0" xfId="0" applyNumberFormat="1" applyFont="1"/>
    <xf numFmtId="9" fontId="7" fillId="0" borderId="0" xfId="0" applyNumberFormat="1" applyFont="1"/>
    <xf numFmtId="0" fontId="0" fillId="0" borderId="0" xfId="0"/>
    <xf numFmtId="0" fontId="2" fillId="0" borderId="0" xfId="0" applyFont="1"/>
    <xf numFmtId="0" fontId="2" fillId="0" borderId="1" xfId="0" applyFont="1" applyBorder="1"/>
    <xf numFmtId="10" fontId="2" fillId="0" borderId="0" xfId="1" applyNumberFormat="1" applyFont="1"/>
    <xf numFmtId="164" fontId="3" fillId="0" borderId="0" xfId="1" applyNumberFormat="1" applyFont="1"/>
    <xf numFmtId="0" fontId="2" fillId="2" borderId="1" xfId="0" applyFont="1" applyFill="1" applyBorder="1"/>
    <xf numFmtId="0" fontId="8" fillId="0" borderId="1" xfId="0" applyFont="1" applyBorder="1"/>
    <xf numFmtId="0" fontId="9" fillId="0" borderId="1" xfId="0" applyFont="1" applyBorder="1"/>
    <xf numFmtId="9" fontId="8" fillId="0" borderId="0" xfId="1" applyFont="1"/>
    <xf numFmtId="0" fontId="8" fillId="0" borderId="0" xfId="0" applyFont="1"/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8" fillId="0" borderId="0" xfId="0" applyNumberFormat="1" applyFont="1"/>
    <xf numFmtId="1" fontId="8" fillId="0" borderId="0" xfId="0" applyNumberFormat="1" applyFont="1"/>
    <xf numFmtId="10" fontId="8" fillId="0" borderId="0" xfId="1" applyNumberFormat="1" applyFont="1"/>
    <xf numFmtId="2" fontId="8" fillId="0" borderId="0" xfId="0" applyNumberFormat="1" applyFont="1"/>
    <xf numFmtId="1" fontId="10" fillId="0" borderId="0" xfId="0" applyNumberFormat="1" applyFont="1"/>
    <xf numFmtId="0" fontId="10" fillId="0" borderId="0" xfId="0" applyFont="1"/>
    <xf numFmtId="0" fontId="11" fillId="0" borderId="0" xfId="0" applyFont="1"/>
    <xf numFmtId="1" fontId="11" fillId="0" borderId="0" xfId="0" applyNumberFormat="1" applyFont="1"/>
    <xf numFmtId="1" fontId="9" fillId="0" borderId="1" xfId="0" applyNumberFormat="1" applyFont="1" applyBorder="1"/>
    <xf numFmtId="0" fontId="12" fillId="0" borderId="0" xfId="0" applyFont="1"/>
    <xf numFmtId="0" fontId="7" fillId="0" borderId="2" xfId="0" applyFont="1" applyBorder="1"/>
    <xf numFmtId="0" fontId="12" fillId="0" borderId="0" xfId="0" applyFont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2" fontId="7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2" borderId="1" xfId="0" applyFont="1" applyFill="1" applyBorder="1"/>
    <xf numFmtId="10" fontId="7" fillId="0" borderId="0" xfId="1" applyNumberFormat="1" applyFont="1"/>
    <xf numFmtId="0" fontId="12" fillId="0" borderId="0" xfId="0" applyFont="1" applyBorder="1"/>
    <xf numFmtId="0" fontId="7" fillId="0" borderId="0" xfId="0" applyFont="1" applyBorder="1"/>
    <xf numFmtId="1" fontId="7" fillId="0" borderId="1" xfId="0" applyNumberFormat="1" applyFont="1" applyBorder="1"/>
    <xf numFmtId="10" fontId="7" fillId="0" borderId="1" xfId="1" applyNumberFormat="1" applyFont="1" applyBorder="1"/>
    <xf numFmtId="2" fontId="12" fillId="0" borderId="0" xfId="0" applyNumberFormat="1" applyFont="1"/>
    <xf numFmtId="1" fontId="12" fillId="0" borderId="0" xfId="0" applyNumberFormat="1" applyFont="1"/>
  </cellXfs>
  <cellStyles count="3">
    <cellStyle name="Milliers 2" xfId="2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e/Desktop/Cours%202020%202021/ESIEE/Controle%20de%20gestion/Corrig&#233;%20co&#251;ts%20partie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debu/Desktop/Cours%202017%202018/ESIEE/ESIEE%20%20GEB/exercices%20comptabilit&#233;%20analytique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etix"/>
      <sheetName val="patoze"/>
      <sheetName val="Coumba"/>
      <sheetName val="Larrazet"/>
      <sheetName val="Larrazet bis"/>
      <sheetName val="Atkis"/>
      <sheetName val="Vitrax"/>
      <sheetName val="restaurant"/>
      <sheetName val="Furax"/>
      <sheetName val="autobus"/>
      <sheetName val="A"/>
      <sheetName val="Merret"/>
      <sheetName val="Top"/>
      <sheetName val="IR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C1">
            <v>1500</v>
          </cell>
        </row>
        <row r="5">
          <cell r="C5">
            <v>950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3">
          <cell r="A13">
            <v>2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"/>
      <sheetName val="SDA"/>
      <sheetName val="Furax"/>
      <sheetName val="autobus"/>
      <sheetName val="atkis"/>
      <sheetName val="alp"/>
      <sheetName val="restaurant"/>
      <sheetName val="Feuil1"/>
      <sheetName val="delta"/>
      <sheetName val="patoze"/>
      <sheetName val="Biloute"/>
      <sheetName val="Feuil8"/>
      <sheetName val="ferrari"/>
      <sheetName val="armox"/>
      <sheetName val="Feuil2"/>
      <sheetName val="k"/>
      <sheetName val="Feuil3"/>
      <sheetName val="Labec"/>
      <sheetName val="Alpha"/>
      <sheetName val="cout marginal"/>
      <sheetName val="Feuil5"/>
    </sheetNames>
    <sheetDataSet>
      <sheetData sheetId="0"/>
      <sheetData sheetId="1">
        <row r="1">
          <cell r="B1">
            <v>100</v>
          </cell>
        </row>
        <row r="2">
          <cell r="B2">
            <v>150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0" workbookViewId="0">
      <selection activeCell="D26" sqref="D26"/>
    </sheetView>
  </sheetViews>
  <sheetFormatPr baseColWidth="10" defaultRowHeight="14.4" x14ac:dyDescent="0.3"/>
  <cols>
    <col min="1" max="1" width="18.109375" style="31" bestFit="1" customWidth="1"/>
    <col min="2" max="2" width="17.44140625" style="31" customWidth="1"/>
    <col min="3" max="3" width="16.33203125" style="31" customWidth="1"/>
    <col min="4" max="4" width="24.5546875" style="31" customWidth="1"/>
    <col min="5" max="5" width="15.6640625" style="31" customWidth="1"/>
    <col min="6" max="6" width="6.6640625" style="31" customWidth="1"/>
    <col min="7" max="7" width="32" style="31" customWidth="1"/>
    <col min="8" max="16384" width="11.5546875" style="31"/>
  </cols>
  <sheetData>
    <row r="1" spans="1:10" ht="17.399999999999999" x14ac:dyDescent="0.3">
      <c r="A1" s="37" t="s">
        <v>39</v>
      </c>
      <c r="B1" s="37">
        <v>25</v>
      </c>
      <c r="D1" s="38" t="s">
        <v>17</v>
      </c>
      <c r="E1" s="37">
        <v>18</v>
      </c>
    </row>
    <row r="2" spans="1:10" ht="17.399999999999999" x14ac:dyDescent="0.3">
      <c r="A2" s="37" t="s">
        <v>83</v>
      </c>
      <c r="B2" s="37">
        <v>7</v>
      </c>
      <c r="C2" s="39">
        <v>0.28000000000000003</v>
      </c>
      <c r="G2" s="40" t="s">
        <v>84</v>
      </c>
    </row>
    <row r="3" spans="1:10" ht="17.399999999999999" x14ac:dyDescent="0.3">
      <c r="A3" s="41"/>
      <c r="B3" s="41"/>
    </row>
    <row r="4" spans="1:10" ht="17.399999999999999" x14ac:dyDescent="0.3">
      <c r="A4" s="37" t="s">
        <v>85</v>
      </c>
      <c r="B4" s="37"/>
      <c r="C4" s="42" t="s">
        <v>86</v>
      </c>
      <c r="D4" s="42" t="s">
        <v>87</v>
      </c>
      <c r="E4" s="42" t="s">
        <v>88</v>
      </c>
    </row>
    <row r="5" spans="1:10" ht="17.399999999999999" x14ac:dyDescent="0.3">
      <c r="A5" s="37" t="s">
        <v>89</v>
      </c>
      <c r="B5" s="37">
        <v>2300</v>
      </c>
      <c r="C5" s="37">
        <v>2300</v>
      </c>
      <c r="D5" s="37"/>
      <c r="E5" s="37">
        <v>27600</v>
      </c>
    </row>
    <row r="6" spans="1:10" ht="17.399999999999999" x14ac:dyDescent="0.3">
      <c r="A6" s="37" t="s">
        <v>90</v>
      </c>
      <c r="B6" s="37">
        <v>3500</v>
      </c>
      <c r="C6" s="37">
        <v>3500</v>
      </c>
      <c r="D6" s="37"/>
      <c r="E6" s="37">
        <v>42000</v>
      </c>
      <c r="G6" s="43" t="s">
        <v>91</v>
      </c>
      <c r="H6" s="50">
        <v>4400</v>
      </c>
      <c r="I6" s="31" t="s">
        <v>117</v>
      </c>
      <c r="J6" s="31">
        <f>24*12</f>
        <v>288</v>
      </c>
    </row>
    <row r="7" spans="1:10" ht="17.399999999999999" x14ac:dyDescent="0.3">
      <c r="A7" s="37" t="s">
        <v>92</v>
      </c>
      <c r="B7" s="37">
        <v>9600</v>
      </c>
      <c r="C7" s="37">
        <v>800</v>
      </c>
      <c r="D7" s="37"/>
      <c r="E7" s="37">
        <v>9600</v>
      </c>
      <c r="G7" s="40" t="s">
        <v>93</v>
      </c>
      <c r="H7" s="49">
        <v>12</v>
      </c>
    </row>
    <row r="8" spans="1:10" ht="17.399999999999999" x14ac:dyDescent="0.3">
      <c r="C8" s="38">
        <v>6600</v>
      </c>
      <c r="D8" s="38">
        <f>E8/J6</f>
        <v>275</v>
      </c>
      <c r="E8" s="38">
        <v>79200</v>
      </c>
      <c r="G8" s="40" t="s">
        <v>94</v>
      </c>
      <c r="H8" s="50">
        <v>366.66666666666669</v>
      </c>
    </row>
    <row r="9" spans="1:10" ht="17.399999999999999" x14ac:dyDescent="0.3">
      <c r="C9" s="51">
        <f>C8/E1</f>
        <v>366.66666666666669</v>
      </c>
      <c r="D9" s="38">
        <f>D8/E1</f>
        <v>15.277777777777779</v>
      </c>
      <c r="E9" s="38">
        <f>E8/E1</f>
        <v>4400</v>
      </c>
      <c r="F9" s="48"/>
      <c r="G9" s="49" t="s">
        <v>95</v>
      </c>
      <c r="H9" s="49">
        <v>16</v>
      </c>
    </row>
    <row r="10" spans="1:10" ht="17.399999999999999" x14ac:dyDescent="0.3">
      <c r="C10" s="51">
        <v>16</v>
      </c>
      <c r="D10" s="38"/>
      <c r="E10" s="51">
        <f>E9/J6</f>
        <v>15.277777777777779</v>
      </c>
    </row>
    <row r="11" spans="1:10" x14ac:dyDescent="0.3">
      <c r="C11" s="48"/>
      <c r="D11" s="47"/>
      <c r="E11" s="48"/>
    </row>
    <row r="12" spans="1:10" x14ac:dyDescent="0.3">
      <c r="C12" s="48"/>
      <c r="D12" s="47"/>
      <c r="E12" s="48"/>
    </row>
    <row r="13" spans="1:10" ht="17.399999999999999" x14ac:dyDescent="0.3">
      <c r="H13" s="44"/>
    </row>
    <row r="14" spans="1:10" ht="17.399999999999999" x14ac:dyDescent="0.3">
      <c r="A14" s="37" t="s">
        <v>96</v>
      </c>
      <c r="B14" s="37">
        <f>40*25*24</f>
        <v>24000</v>
      </c>
      <c r="C14" s="40" t="s">
        <v>97</v>
      </c>
    </row>
    <row r="15" spans="1:10" ht="17.399999999999999" x14ac:dyDescent="0.3">
      <c r="A15" s="37" t="s">
        <v>98</v>
      </c>
      <c r="B15" s="37">
        <f>B2*40*24</f>
        <v>6720</v>
      </c>
    </row>
    <row r="16" spans="1:10" ht="17.399999999999999" x14ac:dyDescent="0.3">
      <c r="A16" s="37" t="s">
        <v>99</v>
      </c>
      <c r="B16" s="37">
        <f>B14-B15</f>
        <v>17280</v>
      </c>
      <c r="C16" s="45">
        <f>B16/B14</f>
        <v>0.72</v>
      </c>
      <c r="F16" s="40" t="s">
        <v>100</v>
      </c>
      <c r="H16" s="44">
        <v>366.66666666666669</v>
      </c>
    </row>
    <row r="17" spans="1:8" ht="17.399999999999999" x14ac:dyDescent="0.3">
      <c r="A17" s="37" t="s">
        <v>101</v>
      </c>
      <c r="B17" s="37">
        <v>6600</v>
      </c>
      <c r="F17" s="40" t="s">
        <v>102</v>
      </c>
    </row>
    <row r="18" spans="1:8" ht="17.399999999999999" x14ac:dyDescent="0.3">
      <c r="A18" s="37" t="s">
        <v>44</v>
      </c>
      <c r="B18" s="37">
        <v>10680</v>
      </c>
    </row>
    <row r="19" spans="1:8" ht="17.399999999999999" x14ac:dyDescent="0.3">
      <c r="F19" s="40" t="s">
        <v>103</v>
      </c>
      <c r="H19" s="39">
        <v>0.72</v>
      </c>
    </row>
    <row r="21" spans="1:8" ht="17.399999999999999" x14ac:dyDescent="0.3">
      <c r="B21" s="40" t="s">
        <v>104</v>
      </c>
      <c r="F21" s="40" t="s">
        <v>105</v>
      </c>
    </row>
    <row r="23" spans="1:8" ht="17.399999999999999" x14ac:dyDescent="0.3">
      <c r="B23" s="40" t="s">
        <v>106</v>
      </c>
      <c r="F23" s="40" t="s">
        <v>23</v>
      </c>
      <c r="G23" s="40">
        <v>10680</v>
      </c>
    </row>
    <row r="24" spans="1:8" ht="17.399999999999999" x14ac:dyDescent="0.3">
      <c r="B24" s="40" t="s">
        <v>107</v>
      </c>
    </row>
    <row r="25" spans="1:8" ht="17.399999999999999" x14ac:dyDescent="0.3">
      <c r="C25" s="44"/>
    </row>
    <row r="26" spans="1:8" ht="17.399999999999999" x14ac:dyDescent="0.3">
      <c r="B26" s="40" t="s">
        <v>108</v>
      </c>
      <c r="C26" s="46"/>
    </row>
    <row r="27" spans="1:8" x14ac:dyDescent="0.3">
      <c r="G27" s="31" t="s">
        <v>109</v>
      </c>
    </row>
    <row r="28" spans="1:8" ht="17.399999999999999" x14ac:dyDescent="0.3">
      <c r="B28" s="40" t="s">
        <v>110</v>
      </c>
    </row>
    <row r="30" spans="1:8" ht="17.399999999999999" x14ac:dyDescent="0.3">
      <c r="B30" s="40" t="s">
        <v>42</v>
      </c>
      <c r="C30" s="44">
        <v>221666.66666666669</v>
      </c>
    </row>
    <row r="32" spans="1:8" ht="17.399999999999999" x14ac:dyDescent="0.3">
      <c r="B32" s="40" t="s">
        <v>25</v>
      </c>
      <c r="C32" s="44">
        <f>C30/B1</f>
        <v>8866.6666666666679</v>
      </c>
    </row>
    <row r="34" spans="2:4" ht="17.399999999999999" x14ac:dyDescent="0.3">
      <c r="B34" s="40" t="s">
        <v>111</v>
      </c>
      <c r="C34" s="44">
        <f>C32/D34</f>
        <v>30.787037037037042</v>
      </c>
      <c r="D34" s="31">
        <f>24*12</f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B19" zoomScale="140" zoomScaleNormal="140" workbookViewId="0">
      <selection activeCell="E21" sqref="E21"/>
    </sheetView>
  </sheetViews>
  <sheetFormatPr baseColWidth="10" defaultColWidth="11.44140625" defaultRowHeight="18" x14ac:dyDescent="0.35"/>
  <cols>
    <col min="1" max="1" width="3.88671875" style="1" customWidth="1"/>
    <col min="2" max="2" width="48.88671875" style="1" customWidth="1"/>
    <col min="3" max="3" width="13.5546875" style="1" customWidth="1"/>
    <col min="4" max="5" width="11.44140625" style="1"/>
    <col min="6" max="6" width="14.88671875" style="1" bestFit="1" customWidth="1"/>
    <col min="7" max="7" width="12" style="1" bestFit="1" customWidth="1"/>
    <col min="8" max="8" width="7.5546875" style="1" customWidth="1"/>
    <col min="9" max="16384" width="11.44140625" style="1"/>
  </cols>
  <sheetData>
    <row r="1" spans="1:9" x14ac:dyDescent="0.35">
      <c r="B1" s="3" t="s">
        <v>8</v>
      </c>
      <c r="C1" s="6">
        <v>60</v>
      </c>
      <c r="D1" s="2" t="s">
        <v>11</v>
      </c>
      <c r="E1" s="6">
        <v>25000</v>
      </c>
      <c r="F1" s="1">
        <v>30000</v>
      </c>
    </row>
    <row r="2" spans="1:9" x14ac:dyDescent="0.35">
      <c r="B2" s="6"/>
      <c r="C2" s="3" t="s">
        <v>12</v>
      </c>
      <c r="D2" s="5" t="s">
        <v>13</v>
      </c>
      <c r="E2" s="5" t="s">
        <v>14</v>
      </c>
    </row>
    <row r="3" spans="1:9" x14ac:dyDescent="0.35">
      <c r="B3" s="3" t="s">
        <v>15</v>
      </c>
      <c r="C3" s="7">
        <v>47.5</v>
      </c>
      <c r="D3" s="8">
        <f>C3-E3</f>
        <v>20.5</v>
      </c>
      <c r="E3" s="4">
        <v>27</v>
      </c>
    </row>
    <row r="4" spans="1:9" x14ac:dyDescent="0.35">
      <c r="B4" s="3" t="s">
        <v>16</v>
      </c>
      <c r="C4" s="7">
        <v>14.5</v>
      </c>
      <c r="D4" s="8">
        <v>8.5</v>
      </c>
      <c r="E4" s="4">
        <f>C4-D4</f>
        <v>6</v>
      </c>
    </row>
    <row r="5" spans="1:9" x14ac:dyDescent="0.35">
      <c r="C5" s="3" t="s">
        <v>12</v>
      </c>
      <c r="D5" s="5">
        <f>SUM(D3:D4)</f>
        <v>29</v>
      </c>
      <c r="E5" s="5">
        <f>SUM(E3:E4)</f>
        <v>33</v>
      </c>
    </row>
    <row r="7" spans="1:9" x14ac:dyDescent="0.35">
      <c r="C7" s="1" t="s">
        <v>35</v>
      </c>
      <c r="D7" s="1">
        <f>C1-E5</f>
        <v>27</v>
      </c>
      <c r="E7" s="1" t="s">
        <v>81</v>
      </c>
    </row>
    <row r="8" spans="1:9" hidden="1" x14ac:dyDescent="0.35">
      <c r="B8" s="3" t="s">
        <v>0</v>
      </c>
      <c r="C8" s="6">
        <f>C1*E1</f>
        <v>1500000</v>
      </c>
      <c r="F8" s="1">
        <f>C1-E5</f>
        <v>27</v>
      </c>
      <c r="G8" s="1" t="s">
        <v>17</v>
      </c>
    </row>
    <row r="9" spans="1:9" hidden="1" x14ac:dyDescent="0.35">
      <c r="A9" s="1" t="s">
        <v>1</v>
      </c>
      <c r="B9" s="3" t="s">
        <v>2</v>
      </c>
      <c r="C9" s="6">
        <f>E5*E1</f>
        <v>825000</v>
      </c>
    </row>
    <row r="10" spans="1:9" hidden="1" x14ac:dyDescent="0.35">
      <c r="A10" s="1" t="s">
        <v>3</v>
      </c>
      <c r="B10" s="3" t="s">
        <v>18</v>
      </c>
      <c r="C10" s="6">
        <f>C8-C9</f>
        <v>675000</v>
      </c>
      <c r="D10" s="9">
        <f>C10/C8</f>
        <v>0.45</v>
      </c>
      <c r="E10" s="1" t="s">
        <v>19</v>
      </c>
      <c r="G10" s="12">
        <f>C11/F8</f>
        <v>26851.85185185185</v>
      </c>
    </row>
    <row r="11" spans="1:9" hidden="1" x14ac:dyDescent="0.35">
      <c r="A11" s="1" t="s">
        <v>1</v>
      </c>
      <c r="B11" s="3" t="s">
        <v>5</v>
      </c>
      <c r="C11" s="6">
        <f>D5*E1</f>
        <v>725000</v>
      </c>
    </row>
    <row r="12" spans="1:9" hidden="1" x14ac:dyDescent="0.35">
      <c r="A12" s="1" t="s">
        <v>3</v>
      </c>
      <c r="B12" s="3" t="s">
        <v>6</v>
      </c>
      <c r="C12" s="6">
        <f>C10-C11</f>
        <v>-50000</v>
      </c>
    </row>
    <row r="14" spans="1:9" ht="23.4" x14ac:dyDescent="0.45">
      <c r="B14" s="10" t="s">
        <v>20</v>
      </c>
      <c r="F14" s="1" t="s">
        <v>21</v>
      </c>
      <c r="I14" s="1" t="s">
        <v>82</v>
      </c>
    </row>
    <row r="15" spans="1:9" x14ac:dyDescent="0.35">
      <c r="B15" s="1" t="s">
        <v>22</v>
      </c>
    </row>
    <row r="16" spans="1:9" x14ac:dyDescent="0.35">
      <c r="E16" s="1" t="s">
        <v>4</v>
      </c>
    </row>
    <row r="17" spans="1:7" x14ac:dyDescent="0.35">
      <c r="B17" s="1" t="s">
        <v>36</v>
      </c>
      <c r="C17" s="1">
        <f>E1*D5</f>
        <v>725000</v>
      </c>
    </row>
    <row r="18" spans="1:7" ht="28.8" x14ac:dyDescent="0.55000000000000004">
      <c r="B18" s="11"/>
      <c r="E18" s="1" t="s">
        <v>113</v>
      </c>
      <c r="F18" s="1" t="s">
        <v>114</v>
      </c>
    </row>
    <row r="19" spans="1:7" ht="28.8" x14ac:dyDescent="0.55000000000000004">
      <c r="B19" s="11" t="s">
        <v>112</v>
      </c>
      <c r="C19" s="1" t="s">
        <v>36</v>
      </c>
      <c r="D19" s="1">
        <f>25000*D5</f>
        <v>725000</v>
      </c>
      <c r="E19" s="1" t="s">
        <v>115</v>
      </c>
      <c r="F19" s="1" t="s">
        <v>116</v>
      </c>
    </row>
    <row r="20" spans="1:7" x14ac:dyDescent="0.35">
      <c r="A20" s="1">
        <v>3</v>
      </c>
      <c r="B20" s="1" t="s">
        <v>23</v>
      </c>
    </row>
    <row r="21" spans="1:7" x14ac:dyDescent="0.35">
      <c r="B21" s="6" t="s">
        <v>37</v>
      </c>
      <c r="C21" s="6">
        <v>10000</v>
      </c>
      <c r="D21" s="6">
        <v>25000</v>
      </c>
      <c r="E21" s="6">
        <v>30000</v>
      </c>
      <c r="F21" s="6">
        <v>40000</v>
      </c>
    </row>
    <row r="22" spans="1:7" x14ac:dyDescent="0.35">
      <c r="B22" s="6" t="s">
        <v>18</v>
      </c>
      <c r="C22" s="6">
        <f>C21*D7</f>
        <v>270000</v>
      </c>
      <c r="D22" s="6">
        <f t="shared" ref="D22:F22" si="0">27*D21</f>
        <v>675000</v>
      </c>
      <c r="E22" s="6">
        <f t="shared" si="0"/>
        <v>810000</v>
      </c>
      <c r="F22" s="6">
        <f t="shared" si="0"/>
        <v>1080000</v>
      </c>
    </row>
    <row r="23" spans="1:7" x14ac:dyDescent="0.35">
      <c r="B23" s="6" t="s">
        <v>36</v>
      </c>
      <c r="C23" s="6">
        <f>725000</f>
        <v>725000</v>
      </c>
      <c r="D23" s="6">
        <f t="shared" ref="D23:F23" si="1">725000</f>
        <v>725000</v>
      </c>
      <c r="E23" s="6">
        <f t="shared" si="1"/>
        <v>725000</v>
      </c>
      <c r="F23" s="6">
        <f t="shared" si="1"/>
        <v>725000</v>
      </c>
    </row>
    <row r="24" spans="1:7" x14ac:dyDescent="0.35">
      <c r="B24" s="6" t="s">
        <v>38</v>
      </c>
      <c r="C24" s="36">
        <f>C22-C23</f>
        <v>-455000</v>
      </c>
      <c r="D24" s="36">
        <f>D22-D23</f>
        <v>-50000</v>
      </c>
      <c r="E24" s="36">
        <f>E22-E23</f>
        <v>85000</v>
      </c>
      <c r="F24" s="36">
        <f>F22-F23</f>
        <v>355000</v>
      </c>
    </row>
    <row r="25" spans="1:7" x14ac:dyDescent="0.35">
      <c r="G25" s="1" t="s">
        <v>41</v>
      </c>
    </row>
    <row r="26" spans="1:7" x14ac:dyDescent="0.35">
      <c r="B26" s="1" t="s">
        <v>40</v>
      </c>
      <c r="C26" s="18">
        <f>E23/27</f>
        <v>26851.85185185185</v>
      </c>
    </row>
    <row r="28" spans="1:7" x14ac:dyDescent="0.35">
      <c r="G28" s="1" t="s">
        <v>8</v>
      </c>
    </row>
    <row r="29" spans="1:7" x14ac:dyDescent="0.35">
      <c r="B29" s="1" t="s">
        <v>24</v>
      </c>
      <c r="G29" s="1" t="s">
        <v>9</v>
      </c>
    </row>
    <row r="30" spans="1:7" x14ac:dyDescent="0.35">
      <c r="A30" s="1" t="s">
        <v>25</v>
      </c>
      <c r="B30" s="1" t="s">
        <v>26</v>
      </c>
      <c r="D30" s="1">
        <f>C30*1.25</f>
        <v>0</v>
      </c>
      <c r="G30" s="1" t="s">
        <v>10</v>
      </c>
    </row>
    <row r="31" spans="1:7" x14ac:dyDescent="0.35">
      <c r="B31" s="1" t="s">
        <v>27</v>
      </c>
      <c r="C31" s="12">
        <f>825000/27</f>
        <v>30555.555555555555</v>
      </c>
      <c r="D31" s="1" t="s">
        <v>28</v>
      </c>
    </row>
    <row r="34" spans="1:6" x14ac:dyDescent="0.35">
      <c r="E34" s="1" t="s">
        <v>25</v>
      </c>
      <c r="F34" s="12">
        <f>825000/27</f>
        <v>30555.555555555555</v>
      </c>
    </row>
    <row r="36" spans="1:6" x14ac:dyDescent="0.35">
      <c r="B36" s="1" t="s">
        <v>29</v>
      </c>
    </row>
    <row r="37" spans="1:6" x14ac:dyDescent="0.35">
      <c r="A37" s="1" t="s">
        <v>25</v>
      </c>
      <c r="B37" s="1">
        <v>30000</v>
      </c>
    </row>
    <row r="38" spans="1:6" x14ac:dyDescent="0.35">
      <c r="A38" s="1" t="s">
        <v>23</v>
      </c>
      <c r="B38" s="1" t="s">
        <v>30</v>
      </c>
    </row>
    <row r="39" spans="1:6" x14ac:dyDescent="0.35">
      <c r="A39" s="1" t="s">
        <v>23</v>
      </c>
      <c r="B39" s="1">
        <f>(27*30000)-725000</f>
        <v>85000</v>
      </c>
    </row>
    <row r="41" spans="1:6" x14ac:dyDescent="0.35">
      <c r="D41" s="9"/>
    </row>
    <row r="42" spans="1:6" x14ac:dyDescent="0.35">
      <c r="B42" s="1" t="s">
        <v>31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130" zoomScaleNormal="130" workbookViewId="0">
      <selection activeCell="D24" sqref="D24"/>
    </sheetView>
  </sheetViews>
  <sheetFormatPr baseColWidth="10" defaultRowHeight="14.4" x14ac:dyDescent="0.3"/>
  <cols>
    <col min="1" max="1" width="37.5546875" bestFit="1" customWidth="1"/>
    <col min="2" max="2" width="15.109375" customWidth="1"/>
    <col min="3" max="3" width="12.5546875" bestFit="1" customWidth="1"/>
  </cols>
  <sheetData>
    <row r="1" spans="1:11" ht="18" x14ac:dyDescent="0.35">
      <c r="A1" s="16" t="s">
        <v>42</v>
      </c>
      <c r="B1" s="16">
        <v>60000</v>
      </c>
      <c r="C1" s="14"/>
      <c r="D1" s="14" t="s">
        <v>75</v>
      </c>
      <c r="E1" s="14">
        <v>18500</v>
      </c>
      <c r="F1" s="14" t="s">
        <v>76</v>
      </c>
      <c r="G1" s="14"/>
      <c r="H1" s="14"/>
      <c r="I1" s="14"/>
      <c r="J1" s="14"/>
      <c r="K1" s="14"/>
    </row>
    <row r="2" spans="1:11" ht="18" x14ac:dyDescent="0.35">
      <c r="A2" s="16" t="s">
        <v>45</v>
      </c>
      <c r="B2" s="16">
        <v>28725</v>
      </c>
      <c r="C2" s="14"/>
      <c r="D2" s="14"/>
      <c r="E2" s="14">
        <f>E1*0.75</f>
        <v>13875</v>
      </c>
      <c r="F2" s="14" t="s">
        <v>77</v>
      </c>
      <c r="G2" s="14"/>
      <c r="H2" s="14"/>
      <c r="I2" s="14"/>
      <c r="J2" s="14"/>
      <c r="K2" s="14"/>
    </row>
    <row r="3" spans="1:11" ht="18" x14ac:dyDescent="0.35">
      <c r="A3" s="17" t="s">
        <v>46</v>
      </c>
      <c r="B3" s="17">
        <v>15800</v>
      </c>
      <c r="C3" s="14"/>
      <c r="D3" s="14"/>
      <c r="E3" s="14"/>
      <c r="F3" s="14"/>
      <c r="G3" s="14"/>
      <c r="H3" s="14"/>
      <c r="I3" s="14"/>
      <c r="J3" s="14"/>
      <c r="K3" s="14"/>
    </row>
    <row r="4" spans="1:11" ht="18" x14ac:dyDescent="0.35">
      <c r="A4" s="17" t="s">
        <v>47</v>
      </c>
      <c r="B4" s="17">
        <v>6000</v>
      </c>
      <c r="C4" s="14"/>
      <c r="D4" s="14"/>
      <c r="E4" s="14"/>
      <c r="F4" s="14"/>
      <c r="G4" s="15">
        <v>31275</v>
      </c>
      <c r="H4" s="14"/>
      <c r="I4" s="14"/>
      <c r="J4" s="14"/>
      <c r="K4" s="14"/>
    </row>
    <row r="5" spans="1:11" ht="18" x14ac:dyDescent="0.35">
      <c r="A5" s="17" t="s">
        <v>48</v>
      </c>
      <c r="B5" s="17">
        <v>2300</v>
      </c>
      <c r="C5" s="14"/>
      <c r="D5" s="14"/>
      <c r="E5" s="14"/>
      <c r="F5" s="15" t="s">
        <v>49</v>
      </c>
      <c r="G5" s="15">
        <v>104.25</v>
      </c>
      <c r="H5" s="14"/>
      <c r="I5" s="14"/>
      <c r="J5" s="14"/>
      <c r="K5" s="14"/>
    </row>
    <row r="6" spans="1:11" ht="18" x14ac:dyDescent="0.35">
      <c r="A6" s="17" t="s">
        <v>50</v>
      </c>
      <c r="B6" s="17">
        <f>E1*0.25</f>
        <v>4625</v>
      </c>
      <c r="C6" s="14"/>
      <c r="D6" s="14"/>
      <c r="E6" s="14"/>
      <c r="F6" s="14"/>
      <c r="G6" s="14"/>
      <c r="H6" s="14"/>
      <c r="I6" s="14"/>
      <c r="J6" s="14"/>
      <c r="K6" s="14"/>
    </row>
    <row r="7" spans="1:11" ht="18" x14ac:dyDescent="0.35">
      <c r="A7" s="16" t="s">
        <v>18</v>
      </c>
      <c r="B7" s="16">
        <f>B1-B2</f>
        <v>31275</v>
      </c>
      <c r="C7" s="35">
        <f>B7/B1</f>
        <v>0.52124999999999999</v>
      </c>
      <c r="D7" s="15" t="s">
        <v>51</v>
      </c>
      <c r="E7" s="14"/>
      <c r="F7" s="14"/>
      <c r="G7" s="14"/>
      <c r="H7" s="14" t="s">
        <v>78</v>
      </c>
      <c r="I7" s="14"/>
      <c r="J7" s="14"/>
      <c r="K7" s="14"/>
    </row>
    <row r="8" spans="1:11" ht="18" x14ac:dyDescent="0.35">
      <c r="A8" s="17" t="s">
        <v>36</v>
      </c>
      <c r="B8" s="17">
        <v>28675</v>
      </c>
      <c r="C8" s="14"/>
      <c r="D8" s="14"/>
      <c r="E8" s="14"/>
      <c r="F8" s="14"/>
      <c r="G8" s="14"/>
      <c r="H8" s="14"/>
      <c r="I8" s="14"/>
      <c r="J8" s="14"/>
      <c r="K8" s="14"/>
    </row>
    <row r="9" spans="1:11" ht="18" x14ac:dyDescent="0.35">
      <c r="A9" s="16" t="s">
        <v>79</v>
      </c>
      <c r="B9" s="16">
        <v>2600</v>
      </c>
      <c r="C9" s="22">
        <v>4.3333333333333335E-2</v>
      </c>
      <c r="D9" s="15" t="s">
        <v>52</v>
      </c>
      <c r="E9" s="14" t="s">
        <v>7</v>
      </c>
      <c r="F9" s="14"/>
      <c r="G9" s="14"/>
      <c r="H9" s="14" t="s">
        <v>80</v>
      </c>
      <c r="I9" s="14"/>
      <c r="J9" s="14"/>
      <c r="K9" s="14"/>
    </row>
    <row r="11" spans="1:11" ht="18" x14ac:dyDescent="0.35">
      <c r="A11" s="24" t="s">
        <v>40</v>
      </c>
      <c r="B11" s="28">
        <f>B8/C7</f>
        <v>55011.99040767386</v>
      </c>
      <c r="C11" s="14"/>
      <c r="D11" s="15" t="s">
        <v>43</v>
      </c>
      <c r="E11" s="15" t="s">
        <v>32</v>
      </c>
      <c r="F11" s="28">
        <v>4988.0095923261397</v>
      </c>
      <c r="G11" s="14"/>
      <c r="H11" s="14"/>
      <c r="I11" s="14"/>
      <c r="J11" s="14"/>
      <c r="K11" s="14"/>
    </row>
    <row r="12" spans="1:11" ht="18" x14ac:dyDescent="0.35">
      <c r="A12" s="13" t="s">
        <v>53</v>
      </c>
      <c r="B12" s="18">
        <f>B11/200</f>
        <v>275.05995203836932</v>
      </c>
      <c r="C12" s="14"/>
      <c r="D12" s="15" t="s">
        <v>33</v>
      </c>
      <c r="E12" s="14"/>
      <c r="F12" s="23">
        <f>F11/B1</f>
        <v>8.3133493205435657E-2</v>
      </c>
      <c r="G12" s="14"/>
      <c r="H12" s="14"/>
      <c r="I12" s="14"/>
      <c r="J12" s="14"/>
      <c r="K12" s="14"/>
    </row>
    <row r="14" spans="1:11" ht="18" x14ac:dyDescent="0.35">
      <c r="A14" s="13" t="s">
        <v>54</v>
      </c>
      <c r="B14" s="15" t="s">
        <v>34</v>
      </c>
      <c r="C14" s="18">
        <v>330.07194244604318</v>
      </c>
      <c r="D14" s="25">
        <v>42705</v>
      </c>
      <c r="E14" s="14"/>
      <c r="F14" s="14"/>
      <c r="G14" s="14"/>
      <c r="H14" s="14"/>
      <c r="I14" s="14"/>
      <c r="J14" s="14"/>
      <c r="K14" s="14"/>
    </row>
    <row r="15" spans="1:11" ht="18" x14ac:dyDescent="0.35">
      <c r="A15" s="14"/>
      <c r="B15" s="14"/>
      <c r="C15" s="14"/>
      <c r="D15" s="15" t="s">
        <v>55</v>
      </c>
      <c r="E15" s="14"/>
      <c r="F15" s="14"/>
      <c r="G15" s="14"/>
      <c r="H15" s="14"/>
      <c r="I15" s="14"/>
      <c r="J15" s="14"/>
      <c r="K15" s="26"/>
    </row>
    <row r="16" spans="1:11" ht="31.2" x14ac:dyDescent="0.6">
      <c r="A16" s="27" t="s">
        <v>56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31.2" x14ac:dyDescent="0.6">
      <c r="A17" s="27" t="s">
        <v>74</v>
      </c>
      <c r="B17" s="14"/>
      <c r="C17" s="14"/>
      <c r="D17" s="14"/>
      <c r="E17" s="14"/>
      <c r="F17" s="15" t="s">
        <v>57</v>
      </c>
      <c r="G17" s="14"/>
      <c r="H17" s="14"/>
      <c r="I17" s="14"/>
      <c r="J17" s="14"/>
      <c r="K17" s="14"/>
    </row>
    <row r="19" spans="1:11" ht="18" x14ac:dyDescent="0.3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8"/>
    </row>
    <row r="20" spans="1:11" ht="21" x14ac:dyDescent="0.4">
      <c r="A20" s="20" t="s">
        <v>7</v>
      </c>
      <c r="B20" s="20" t="s">
        <v>52</v>
      </c>
      <c r="C20" s="30">
        <v>0.1</v>
      </c>
      <c r="D20" s="20"/>
      <c r="E20" s="20" t="s">
        <v>58</v>
      </c>
      <c r="F20" s="14"/>
      <c r="G20" s="14"/>
      <c r="H20" s="14"/>
      <c r="I20" s="14"/>
      <c r="J20" s="14"/>
      <c r="K20" s="14"/>
    </row>
    <row r="21" spans="1:11" ht="21" x14ac:dyDescent="0.4">
      <c r="A21" s="20"/>
      <c r="B21" s="20"/>
      <c r="C21" s="20"/>
      <c r="D21" s="20"/>
      <c r="E21" s="20"/>
      <c r="F21" s="14"/>
      <c r="G21" s="14"/>
      <c r="H21" s="14"/>
      <c r="I21" s="14"/>
      <c r="J21" s="14"/>
      <c r="K21" s="14"/>
    </row>
    <row r="22" spans="1:11" ht="21" x14ac:dyDescent="0.4">
      <c r="A22" s="20" t="s">
        <v>74</v>
      </c>
      <c r="B22" s="21"/>
      <c r="C22" s="20"/>
      <c r="D22" s="20"/>
      <c r="E22" s="20"/>
      <c r="F22" s="14"/>
      <c r="G22" s="14"/>
      <c r="H22" s="14"/>
      <c r="I22" s="14"/>
      <c r="J22" s="14"/>
      <c r="K22" s="14"/>
    </row>
    <row r="24" spans="1:11" ht="23.4" x14ac:dyDescent="0.45">
      <c r="A24" s="19" t="s">
        <v>59</v>
      </c>
      <c r="B24" s="14"/>
      <c r="C24" s="14"/>
      <c r="D24" s="15">
        <v>68063.13790647994</v>
      </c>
      <c r="E24" s="14"/>
      <c r="F24" s="14"/>
      <c r="G24" s="14"/>
      <c r="H24" s="14"/>
      <c r="I24" s="14"/>
      <c r="J24" s="14"/>
      <c r="K24" s="14"/>
    </row>
    <row r="25" spans="1:11" ht="23.4" x14ac:dyDescent="0.45">
      <c r="A25" s="19" t="s">
        <v>60</v>
      </c>
      <c r="B25" s="14"/>
      <c r="C25" s="14"/>
      <c r="D25" s="14"/>
      <c r="E25" s="14"/>
      <c r="F25" s="14"/>
      <c r="G25" s="15">
        <v>48</v>
      </c>
      <c r="H25" s="14"/>
      <c r="I25" s="14"/>
      <c r="J25" s="14"/>
      <c r="K25" s="14"/>
    </row>
    <row r="26" spans="1:11" ht="23.4" x14ac:dyDescent="0.45">
      <c r="A26" s="19" t="s">
        <v>61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23.4" x14ac:dyDescent="0.45">
      <c r="A27" s="19" t="s">
        <v>62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23.4" x14ac:dyDescent="0.45">
      <c r="A28" s="29"/>
      <c r="B28" s="14"/>
      <c r="C28" s="14"/>
      <c r="D28" s="14"/>
      <c r="E28" s="14"/>
      <c r="F28" s="14"/>
      <c r="G28" s="14"/>
      <c r="H28" s="14"/>
      <c r="I28" s="14"/>
      <c r="J28" s="14"/>
      <c r="K28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1" sqref="B1:B1048576"/>
    </sheetView>
  </sheetViews>
  <sheetFormatPr baseColWidth="10" defaultRowHeight="14.4" x14ac:dyDescent="0.3"/>
  <cols>
    <col min="1" max="1" width="19.109375" customWidth="1"/>
  </cols>
  <sheetData>
    <row r="1" spans="1:9" ht="18" x14ac:dyDescent="0.35">
      <c r="A1" s="33" t="s">
        <v>39</v>
      </c>
      <c r="B1" s="33">
        <v>400</v>
      </c>
      <c r="C1" s="32">
        <v>20000</v>
      </c>
      <c r="D1" s="31"/>
      <c r="E1" s="31"/>
      <c r="F1" s="31"/>
      <c r="G1" s="31"/>
      <c r="H1" s="31"/>
      <c r="I1" s="31"/>
    </row>
    <row r="2" spans="1:9" ht="18" x14ac:dyDescent="0.35">
      <c r="A2" s="33" t="s">
        <v>63</v>
      </c>
      <c r="B2" s="33">
        <v>2400</v>
      </c>
      <c r="C2" s="31"/>
      <c r="D2" s="31"/>
      <c r="E2" s="31"/>
      <c r="F2" s="31"/>
      <c r="G2" s="31"/>
      <c r="H2" s="31"/>
      <c r="I2" s="31"/>
    </row>
    <row r="3" spans="1:9" ht="18" x14ac:dyDescent="0.35">
      <c r="A3" s="33" t="s">
        <v>64</v>
      </c>
      <c r="B3" s="33">
        <v>350</v>
      </c>
      <c r="C3" s="32">
        <v>17500</v>
      </c>
      <c r="D3" s="31"/>
      <c r="E3" s="31"/>
      <c r="F3" s="32" t="s">
        <v>65</v>
      </c>
      <c r="G3" s="31"/>
      <c r="H3" s="32" t="s">
        <v>3</v>
      </c>
      <c r="I3" s="32">
        <v>0</v>
      </c>
    </row>
    <row r="4" spans="1:9" ht="18" x14ac:dyDescent="0.35">
      <c r="A4" s="33" t="s">
        <v>66</v>
      </c>
      <c r="B4" s="33">
        <v>50</v>
      </c>
      <c r="C4" s="32">
        <v>2500</v>
      </c>
      <c r="D4" s="34">
        <v>0.125</v>
      </c>
      <c r="E4" s="31"/>
      <c r="F4" s="31"/>
      <c r="G4" s="31"/>
      <c r="H4" s="31"/>
      <c r="I4" s="31"/>
    </row>
    <row r="5" spans="1:9" ht="18" x14ac:dyDescent="0.35">
      <c r="A5" s="33" t="s">
        <v>67</v>
      </c>
      <c r="B5" s="33">
        <v>48</v>
      </c>
      <c r="C5" s="32">
        <v>100</v>
      </c>
      <c r="D5" s="32" t="s">
        <v>44</v>
      </c>
      <c r="E5" s="31"/>
      <c r="F5" s="32" t="s">
        <v>68</v>
      </c>
      <c r="G5" s="31"/>
      <c r="H5" s="31"/>
      <c r="I5" s="31"/>
    </row>
    <row r="7" spans="1:9" ht="18" x14ac:dyDescent="0.35">
      <c r="A7" s="33" t="s">
        <v>69</v>
      </c>
      <c r="B7" s="33">
        <v>19200</v>
      </c>
      <c r="C7" s="31"/>
      <c r="D7" s="31"/>
      <c r="E7" s="31"/>
      <c r="F7" s="32" t="s">
        <v>70</v>
      </c>
      <c r="G7" s="31"/>
      <c r="H7" s="31"/>
      <c r="I7" s="31"/>
    </row>
    <row r="8" spans="1:9" ht="18" x14ac:dyDescent="0.35">
      <c r="A8" s="31"/>
      <c r="B8" s="31"/>
      <c r="C8" s="31"/>
      <c r="D8" s="31"/>
      <c r="E8" s="31"/>
      <c r="F8" s="32" t="s">
        <v>71</v>
      </c>
      <c r="G8" s="31"/>
      <c r="H8" s="31"/>
      <c r="I8" s="31"/>
    </row>
    <row r="9" spans="1:9" ht="18" x14ac:dyDescent="0.35">
      <c r="A9" s="33" t="s">
        <v>72</v>
      </c>
      <c r="B9" s="33"/>
      <c r="C9" s="31"/>
      <c r="D9" s="31"/>
      <c r="E9" s="31"/>
      <c r="F9" s="32" t="s">
        <v>73</v>
      </c>
      <c r="G9" s="32">
        <v>398</v>
      </c>
      <c r="H9" s="31"/>
      <c r="I9" s="3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4" workbookViewId="0">
      <selection activeCell="C22" sqref="C22"/>
    </sheetView>
  </sheetViews>
  <sheetFormatPr baseColWidth="10" defaultRowHeight="14.4" x14ac:dyDescent="0.3"/>
  <cols>
    <col min="1" max="1" width="11.5546875" style="31"/>
    <col min="2" max="2" width="42.6640625" style="31" bestFit="1" customWidth="1"/>
    <col min="3" max="5" width="17.6640625" style="31" customWidth="1"/>
    <col min="6" max="6" width="15" style="31" customWidth="1"/>
    <col min="7" max="7" width="18.44140625" style="31" customWidth="1"/>
    <col min="8" max="8" width="17.5546875" style="31" customWidth="1"/>
    <col min="9" max="16384" width="11.5546875" style="31"/>
  </cols>
  <sheetData>
    <row r="1" spans="1:12" ht="21" x14ac:dyDescent="0.4">
      <c r="B1" s="52" t="s">
        <v>39</v>
      </c>
      <c r="C1" s="52">
        <v>1500</v>
      </c>
    </row>
    <row r="2" spans="1:12" ht="21" x14ac:dyDescent="0.4">
      <c r="B2" s="52"/>
      <c r="C2" s="52"/>
    </row>
    <row r="3" spans="1:12" ht="21" x14ac:dyDescent="0.4">
      <c r="B3" s="20" t="s">
        <v>118</v>
      </c>
      <c r="C3" s="20">
        <v>600</v>
      </c>
      <c r="D3" s="20" t="s">
        <v>119</v>
      </c>
    </row>
    <row r="4" spans="1:12" ht="21" x14ac:dyDescent="0.4">
      <c r="B4" s="20" t="s">
        <v>120</v>
      </c>
      <c r="C4" s="20">
        <v>350</v>
      </c>
      <c r="D4" s="20" t="s">
        <v>119</v>
      </c>
    </row>
    <row r="5" spans="1:12" ht="21" x14ac:dyDescent="0.4">
      <c r="B5" s="52" t="s">
        <v>9</v>
      </c>
      <c r="C5" s="52">
        <v>950</v>
      </c>
    </row>
    <row r="6" spans="1:12" ht="21" x14ac:dyDescent="0.4">
      <c r="B6" s="52"/>
      <c r="C6" s="52"/>
    </row>
    <row r="7" spans="1:12" ht="21" x14ac:dyDescent="0.4">
      <c r="B7" s="52" t="s">
        <v>85</v>
      </c>
      <c r="C7" s="20">
        <v>750000</v>
      </c>
    </row>
    <row r="8" spans="1:12" ht="21" x14ac:dyDescent="0.4">
      <c r="K8" s="53"/>
      <c r="L8" s="53"/>
    </row>
    <row r="9" spans="1:12" ht="21" x14ac:dyDescent="0.4">
      <c r="B9" s="52" t="s">
        <v>121</v>
      </c>
      <c r="C9" s="52">
        <v>550</v>
      </c>
      <c r="I9" s="53"/>
      <c r="J9" s="53"/>
    </row>
    <row r="11" spans="1:12" ht="21" x14ac:dyDescent="0.4">
      <c r="A11" s="54">
        <v>1</v>
      </c>
      <c r="B11" s="20" t="s">
        <v>122</v>
      </c>
      <c r="C11" s="20" t="s">
        <v>123</v>
      </c>
      <c r="E11" s="20" t="s">
        <v>124</v>
      </c>
      <c r="G11" s="53"/>
      <c r="H11" s="53"/>
    </row>
    <row r="12" spans="1:12" ht="21" x14ac:dyDescent="0.4">
      <c r="H12" s="21"/>
    </row>
    <row r="13" spans="1:12" ht="21" x14ac:dyDescent="0.4">
      <c r="A13" s="20">
        <v>2</v>
      </c>
      <c r="B13" s="55" t="s">
        <v>125</v>
      </c>
      <c r="C13" s="56">
        <v>1500</v>
      </c>
      <c r="D13" s="56">
        <v>2500</v>
      </c>
      <c r="E13" s="56">
        <v>3000</v>
      </c>
    </row>
    <row r="14" spans="1:12" ht="21" x14ac:dyDescent="0.4">
      <c r="B14" s="55" t="s">
        <v>42</v>
      </c>
      <c r="C14" s="57">
        <v>2250000</v>
      </c>
      <c r="D14" s="57">
        <v>3750000</v>
      </c>
      <c r="E14" s="57">
        <v>4500000</v>
      </c>
      <c r="G14" s="58"/>
    </row>
    <row r="15" spans="1:12" ht="21" x14ac:dyDescent="0.4">
      <c r="B15" s="59" t="s">
        <v>126</v>
      </c>
      <c r="C15" s="60">
        <v>1425000</v>
      </c>
      <c r="D15" s="60">
        <v>2375000</v>
      </c>
      <c r="E15" s="60">
        <v>2850000</v>
      </c>
    </row>
    <row r="16" spans="1:12" ht="21" x14ac:dyDescent="0.4">
      <c r="B16" s="59" t="s">
        <v>36</v>
      </c>
      <c r="C16" s="61">
        <v>750000</v>
      </c>
      <c r="D16" s="61">
        <v>750000</v>
      </c>
      <c r="E16" s="61">
        <v>750000</v>
      </c>
    </row>
    <row r="17" spans="1:10" ht="21" x14ac:dyDescent="0.4">
      <c r="B17" s="55" t="s">
        <v>127</v>
      </c>
      <c r="C17" s="55">
        <v>2175000</v>
      </c>
      <c r="D17" s="55">
        <v>3125000</v>
      </c>
      <c r="E17" s="55">
        <v>3600000</v>
      </c>
    </row>
    <row r="18" spans="1:10" ht="21" x14ac:dyDescent="0.4">
      <c r="B18" s="55" t="s">
        <v>128</v>
      </c>
      <c r="C18" s="57">
        <v>75000</v>
      </c>
      <c r="D18" s="57">
        <v>625000</v>
      </c>
      <c r="E18" s="57">
        <v>900000</v>
      </c>
      <c r="J18" s="62"/>
    </row>
    <row r="19" spans="1:10" ht="21" x14ac:dyDescent="0.4">
      <c r="B19" s="55" t="s">
        <v>129</v>
      </c>
      <c r="C19" s="57">
        <v>50</v>
      </c>
      <c r="D19" s="57">
        <v>250</v>
      </c>
      <c r="E19" s="57">
        <v>300</v>
      </c>
      <c r="I19" s="20" t="s">
        <v>43</v>
      </c>
    </row>
    <row r="20" spans="1:10" ht="21" x14ac:dyDescent="0.4">
      <c r="B20" s="63"/>
      <c r="C20" s="64"/>
      <c r="D20" s="64"/>
      <c r="E20" s="64"/>
      <c r="I20" s="20" t="s">
        <v>130</v>
      </c>
    </row>
    <row r="21" spans="1:10" ht="21" x14ac:dyDescent="0.4">
      <c r="J21" s="62"/>
    </row>
    <row r="22" spans="1:10" ht="21" x14ac:dyDescent="0.4">
      <c r="B22" s="20" t="s">
        <v>131</v>
      </c>
      <c r="C22" s="68">
        <v>1364</v>
      </c>
    </row>
    <row r="23" spans="1:10" ht="21" x14ac:dyDescent="0.4">
      <c r="F23" s="57" t="s">
        <v>132</v>
      </c>
      <c r="G23" s="57" t="s">
        <v>32</v>
      </c>
      <c r="H23" s="57"/>
    </row>
    <row r="24" spans="1:10" ht="21" x14ac:dyDescent="0.4">
      <c r="F24" s="57" t="s">
        <v>42</v>
      </c>
      <c r="G24" s="57">
        <f>3000*1500</f>
        <v>4500000</v>
      </c>
      <c r="H24" s="57">
        <v>3000</v>
      </c>
    </row>
    <row r="25" spans="1:10" ht="21" x14ac:dyDescent="0.4">
      <c r="E25" s="31" t="s">
        <v>1</v>
      </c>
      <c r="F25" s="57" t="s">
        <v>40</v>
      </c>
      <c r="G25" s="65">
        <v>2045454.5454545456</v>
      </c>
      <c r="H25" s="57">
        <v>1364</v>
      </c>
    </row>
    <row r="26" spans="1:10" ht="21" x14ac:dyDescent="0.4">
      <c r="B26" s="63" t="s">
        <v>133</v>
      </c>
      <c r="C26" s="64"/>
      <c r="D26" s="64"/>
      <c r="E26" s="64"/>
      <c r="F26" s="57" t="s">
        <v>43</v>
      </c>
      <c r="G26" s="65">
        <v>2454545.4545454541</v>
      </c>
      <c r="H26" s="57">
        <v>1636</v>
      </c>
    </row>
    <row r="27" spans="1:10" ht="21" x14ac:dyDescent="0.4">
      <c r="B27" s="20" t="s">
        <v>134</v>
      </c>
      <c r="F27" s="57" t="s">
        <v>33</v>
      </c>
      <c r="G27" s="66">
        <v>0.54545454545454541</v>
      </c>
      <c r="H27" s="66">
        <v>0.54533333333333334</v>
      </c>
    </row>
    <row r="28" spans="1:10" ht="21" x14ac:dyDescent="0.4">
      <c r="B28" s="20" t="s">
        <v>135</v>
      </c>
      <c r="C28" s="21"/>
      <c r="F28" s="20" t="s">
        <v>136</v>
      </c>
      <c r="G28" s="20" t="s">
        <v>34</v>
      </c>
      <c r="H28" s="21">
        <v>163.63636363636365</v>
      </c>
    </row>
    <row r="29" spans="1:10" ht="21" x14ac:dyDescent="0.4">
      <c r="B29" s="20" t="s">
        <v>137</v>
      </c>
      <c r="D29" s="21"/>
    </row>
    <row r="30" spans="1:10" ht="21" x14ac:dyDescent="0.4">
      <c r="B30" s="20" t="s">
        <v>138</v>
      </c>
      <c r="C30" s="67">
        <v>1464</v>
      </c>
      <c r="F30" s="20" t="s">
        <v>139</v>
      </c>
    </row>
    <row r="32" spans="1:10" ht="21" x14ac:dyDescent="0.4">
      <c r="A32" s="20" t="s">
        <v>42</v>
      </c>
      <c r="B32" s="68">
        <f>C22*C1</f>
        <v>2046000</v>
      </c>
      <c r="F32" s="20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restaurant</vt:lpstr>
      <vt:lpstr>patoze</vt:lpstr>
      <vt:lpstr>furax</vt:lpstr>
      <vt:lpstr>Feuil1</vt:lpstr>
      <vt:lpstr>autobus</vt:lpstr>
      <vt:lpstr>atkis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fredo</dc:creator>
  <cp:lastModifiedBy>Frederic DEBUIRE</cp:lastModifiedBy>
  <dcterms:created xsi:type="dcterms:W3CDTF">2019-11-18T15:19:45Z</dcterms:created>
  <dcterms:modified xsi:type="dcterms:W3CDTF">2021-12-06T08:31:55Z</dcterms:modified>
</cp:coreProperties>
</file>