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ede\Desktop\Cours 2020 2021\ESIEE\Controle de gestion\2021 2022\"/>
    </mc:Choice>
  </mc:AlternateContent>
  <bookViews>
    <workbookView xWindow="-120" yWindow="-120" windowWidth="20736" windowHeight="11160" activeTab="1"/>
  </bookViews>
  <sheets>
    <sheet name="Jouetix" sheetId="1" r:id="rId1"/>
    <sheet name="Feuil1" sheetId="2" r:id="rId2"/>
  </sheets>
  <externalReferences>
    <externalReference r:id="rId3"/>
    <externalReference r:id="rId4"/>
  </externalReferences>
  <definedNames>
    <definedName name="Charges_variables_unitaires">[1]Atkis!$C$5</definedName>
    <definedName name="Chiffre_d_affaires">Jouetix!$C$16</definedName>
    <definedName name="Coûts_fixes">Jouetix!$C$19</definedName>
    <definedName name="Coûts_variables">Jouetix!$C$17</definedName>
    <definedName name="Marge_nette">Jouetix!$C$20</definedName>
    <definedName name="Marge_sur_coûts_variables">Jouetix!$C$18</definedName>
    <definedName name="Prix_de_vente">[1]Atkis!$C$1</definedName>
    <definedName name="PV">[2]SDA!$B$1</definedName>
    <definedName name="Quantité">[2]SDA!$B$2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  <c r="D56" i="2"/>
  <c r="H56" i="2"/>
  <c r="D54" i="2"/>
  <c r="H52" i="2"/>
  <c r="E52" i="2"/>
  <c r="D51" i="2"/>
  <c r="D17" i="2"/>
  <c r="D48" i="2"/>
  <c r="D46" i="2"/>
  <c r="C43" i="2"/>
  <c r="C34" i="2"/>
  <c r="D24" i="2"/>
  <c r="D20" i="2"/>
  <c r="D18" i="2"/>
  <c r="C20" i="2"/>
  <c r="C19" i="2"/>
  <c r="C18" i="2"/>
  <c r="C17" i="2"/>
  <c r="C16" i="2"/>
  <c r="G11" i="2"/>
  <c r="E11" i="2"/>
  <c r="G10" i="2"/>
  <c r="G9" i="2"/>
  <c r="G8" i="2"/>
  <c r="E8" i="2"/>
  <c r="G7" i="2"/>
  <c r="G6" i="2"/>
  <c r="E6" i="2"/>
  <c r="G5" i="2"/>
  <c r="E5" i="2"/>
  <c r="E4" i="2"/>
  <c r="E3" i="2"/>
  <c r="J16" i="2" l="1"/>
  <c r="G13" i="2"/>
  <c r="C11" i="2"/>
  <c r="J19" i="2" l="1"/>
  <c r="G58" i="1"/>
  <c r="D56" i="1"/>
  <c r="D54" i="1"/>
  <c r="H52" i="1"/>
  <c r="E52" i="1"/>
  <c r="C51" i="1"/>
  <c r="D17" i="1"/>
  <c r="G13" i="1"/>
  <c r="C16" i="1" s="1"/>
  <c r="G10" i="1"/>
  <c r="G9" i="1"/>
  <c r="G7" i="1"/>
  <c r="G6" i="1"/>
  <c r="E6" i="1"/>
  <c r="G5" i="1"/>
  <c r="E5" i="1"/>
  <c r="E4" i="1"/>
  <c r="E3" i="1"/>
  <c r="C34" i="1" l="1"/>
  <c r="C11" i="1"/>
  <c r="E11" i="1"/>
  <c r="C24" i="2" l="1"/>
  <c r="J18" i="2"/>
  <c r="J20" i="2" s="1"/>
  <c r="C17" i="1"/>
  <c r="C18" i="1" s="1"/>
  <c r="G11" i="1"/>
  <c r="C19" i="1" l="1"/>
  <c r="C43" i="1" s="1"/>
  <c r="J19" i="1"/>
  <c r="D18" i="1"/>
  <c r="C20" i="1"/>
  <c r="D46" i="1" l="1"/>
  <c r="D24" i="1"/>
  <c r="D20" i="1"/>
  <c r="C24" i="1"/>
  <c r="D48" i="1" l="1"/>
  <c r="J16" i="1"/>
  <c r="J18" i="1" s="1"/>
  <c r="J20" i="1" s="1"/>
</calcChain>
</file>

<file path=xl/sharedStrings.xml><?xml version="1.0" encoding="utf-8"?>
<sst xmlns="http://schemas.openxmlformats.org/spreadsheetml/2006/main" count="162" uniqueCount="67">
  <si>
    <t>Charges</t>
  </si>
  <si>
    <t>Montant</t>
  </si>
  <si>
    <t>Variable</t>
  </si>
  <si>
    <t>Fixe</t>
  </si>
  <si>
    <t>%</t>
  </si>
  <si>
    <t>Achat de bois</t>
  </si>
  <si>
    <t>Fournitures diverses</t>
  </si>
  <si>
    <t>Charges de personnel</t>
  </si>
  <si>
    <t>Maintenance</t>
  </si>
  <si>
    <t>Location</t>
  </si>
  <si>
    <t>Publicité</t>
  </si>
  <si>
    <t>Amortissements</t>
  </si>
  <si>
    <t>Charges d'intérêt</t>
  </si>
  <si>
    <t>TOTAL</t>
  </si>
  <si>
    <t>Chiffre d'affaires</t>
  </si>
  <si>
    <t>-</t>
  </si>
  <si>
    <t>Coûts variables</t>
  </si>
  <si>
    <t>=</t>
  </si>
  <si>
    <t>Marge sur coûts variables</t>
  </si>
  <si>
    <t>Taux de marge sur coûts variables</t>
  </si>
  <si>
    <t>Coûts fixes</t>
  </si>
  <si>
    <t>Marge nette</t>
  </si>
  <si>
    <t>Taux de rentabilité</t>
  </si>
  <si>
    <t>Augmentation du résultat de 25%</t>
  </si>
  <si>
    <t>PV</t>
  </si>
  <si>
    <t>Hausse de 25%</t>
  </si>
  <si>
    <t>Charges variables unitaires</t>
  </si>
  <si>
    <t>Résultat</t>
  </si>
  <si>
    <t>Marge sur coûts variables unitaire</t>
  </si>
  <si>
    <t>CA-CV-CF=567500</t>
  </si>
  <si>
    <t>CA*0,6582-CF=567500</t>
  </si>
  <si>
    <t>CA*0,6582=567500+CF</t>
  </si>
  <si>
    <t>CA*0,6582=567500+796600</t>
  </si>
  <si>
    <t>CA*0,6582=1364100</t>
  </si>
  <si>
    <t>ca=</t>
  </si>
  <si>
    <t>1364100/0,6582</t>
  </si>
  <si>
    <t>Compte de résultat différentiel</t>
  </si>
  <si>
    <t>Quantité</t>
  </si>
  <si>
    <t>CA-CV-CF=MN</t>
  </si>
  <si>
    <t>MSCV-CF=0</t>
  </si>
  <si>
    <t>Ca*taux de mscv-cf = 0</t>
  </si>
  <si>
    <t>=CF/taux de mscv</t>
  </si>
  <si>
    <t>Seuil de rentabilité en valeur</t>
  </si>
  <si>
    <t>Seuil de rentabilité en quantité</t>
  </si>
  <si>
    <t>Sr valeur/PV</t>
  </si>
  <si>
    <t>CF/marge sur couts variable unitaire</t>
  </si>
  <si>
    <t>Marge de sécurité</t>
  </si>
  <si>
    <t>CA-SR</t>
  </si>
  <si>
    <t>Indice de sécurité</t>
  </si>
  <si>
    <t>MS/CA</t>
  </si>
  <si>
    <t>Point Mort</t>
  </si>
  <si>
    <t>Date à laquelle les sr est atteint</t>
  </si>
  <si>
    <t>SR/CA*360</t>
  </si>
  <si>
    <t>Prix de vente</t>
  </si>
  <si>
    <t>CA</t>
  </si>
  <si>
    <t>MCV-CF=567500</t>
  </si>
  <si>
    <t>QUEL CA POUR UN TAUX DE RENTABILITE = 30% ?</t>
  </si>
  <si>
    <t>CA-CV-CF=30%*CA</t>
  </si>
  <si>
    <t>MCV-CF=0,3*CA</t>
  </si>
  <si>
    <t>0,6582*CA-CF=0,3*CA</t>
  </si>
  <si>
    <t>0,3582CA=CF</t>
  </si>
  <si>
    <t>CA=CF/0,3582</t>
  </si>
  <si>
    <t>CA=CF/taux mscv</t>
  </si>
  <si>
    <t>Marge sur couts variables unitaires</t>
  </si>
  <si>
    <t>SR valeur</t>
  </si>
  <si>
    <t>1+MS/CA</t>
  </si>
  <si>
    <t>Date à laquelle le sr est atteint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</si>
</sst>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sz val="2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0" fontId="3" fillId="0" borderId="0" xfId="1" applyNumberFormat="1" applyFont="1" applyAlignment="1">
      <alignment vertical="center"/>
    </xf>
    <xf numFmtId="0" fontId="3" fillId="0" borderId="0" xfId="0" applyFont="1" applyAlignment="1">
      <alignment vertical="center"/>
    </xf>
    <xf numFmtId="9" fontId="2" fillId="0" borderId="0" xfId="0" applyNumberFormat="1" applyFont="1"/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" fontId="2" fillId="0" borderId="0" xfId="0" applyNumberFormat="1" applyFont="1"/>
    <xf numFmtId="0" fontId="3" fillId="0" borderId="0" xfId="0" quotePrefix="1" applyFont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16" fontId="2" fillId="0" borderId="0" xfId="0" applyNumberFormat="1" applyFont="1"/>
    <xf numFmtId="1" fontId="2" fillId="0" borderId="0" xfId="0" applyNumberFormat="1" applyFont="1"/>
    <xf numFmtId="10" fontId="3" fillId="0" borderId="0" xfId="1" applyNumberFormat="1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3" fillId="2" borderId="0" xfId="1" applyNumberFormat="1" applyFont="1" applyFill="1" applyAlignment="1">
      <alignment vertical="center"/>
    </xf>
    <xf numFmtId="0" fontId="8" fillId="0" borderId="0" xfId="0" applyFont="1"/>
    <xf numFmtId="0" fontId="8" fillId="0" borderId="0" xfId="0" quotePrefix="1" applyFont="1"/>
    <xf numFmtId="1" fontId="8" fillId="0" borderId="0" xfId="0" applyNumberFormat="1" applyFont="1"/>
    <xf numFmtId="0" fontId="7" fillId="0" borderId="0" xfId="0" applyFont="1"/>
    <xf numFmtId="1" fontId="7" fillId="0" borderId="0" xfId="0" applyNumberFormat="1" applyFont="1"/>
    <xf numFmtId="10" fontId="8" fillId="0" borderId="0" xfId="1" applyNumberFormat="1" applyFont="1"/>
    <xf numFmtId="16" fontId="7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2" fontId="6" fillId="0" borderId="0" xfId="0" applyNumberFormat="1" applyFont="1" applyAlignment="1">
      <alignment vertical="center"/>
    </xf>
    <xf numFmtId="2" fontId="7" fillId="0" borderId="0" xfId="0" applyNumberFormat="1" applyFont="1"/>
  </cellXfs>
  <cellStyles count="3">
    <cellStyle name="Milliers 2" xfId="2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e/Desktop/Cours%202020%202021/ESIEE/Controle%20de%20gestion/Corrig&#233;%20co&#251;ts%20partie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debu/Desktop/Cours%202017%202018/ESIEE/ESIEE%20%20GEB/exercices%20comptabilit&#233;%20analytique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etix"/>
      <sheetName val="patoze"/>
      <sheetName val="Coumba"/>
      <sheetName val="Larrazet"/>
      <sheetName val="Larrazet bis"/>
      <sheetName val="Atkis"/>
      <sheetName val="Vitrax"/>
      <sheetName val="restaurant"/>
      <sheetName val="Furax"/>
      <sheetName val="autobus"/>
      <sheetName val="A"/>
      <sheetName val="Merret"/>
      <sheetName val="Top"/>
      <sheetName val="IRCF"/>
    </sheetNames>
    <sheetDataSet>
      <sheetData sheetId="0"/>
      <sheetData sheetId="1"/>
      <sheetData sheetId="2"/>
      <sheetData sheetId="3"/>
      <sheetData sheetId="4"/>
      <sheetData sheetId="5">
        <row r="1">
          <cell r="C1">
            <v>1500</v>
          </cell>
        </row>
        <row r="5">
          <cell r="C5">
            <v>950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"/>
      <sheetName val="SDA"/>
      <sheetName val="Furax"/>
      <sheetName val="autobus"/>
      <sheetName val="atkis"/>
      <sheetName val="alp"/>
      <sheetName val="restaurant"/>
      <sheetName val="Feuil1"/>
      <sheetName val="delta"/>
      <sheetName val="patoze"/>
      <sheetName val="Biloute"/>
      <sheetName val="Feuil8"/>
      <sheetName val="ferrari"/>
      <sheetName val="armox"/>
      <sheetName val="Feuil2"/>
      <sheetName val="k"/>
      <sheetName val="Feuil3"/>
      <sheetName val="Labec"/>
      <sheetName val="Alpha"/>
      <sheetName val="cout marginal"/>
      <sheetName val="Feuil5"/>
    </sheetNames>
    <sheetDataSet>
      <sheetData sheetId="0"/>
      <sheetData sheetId="1">
        <row r="1">
          <cell r="B1">
            <v>100</v>
          </cell>
        </row>
        <row r="2">
          <cell r="B2">
            <v>150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21" zoomScale="130" zoomScaleNormal="130" workbookViewId="0">
      <selection activeCell="A21" sqref="A1:XFD1048576"/>
    </sheetView>
  </sheetViews>
  <sheetFormatPr baseColWidth="10" defaultColWidth="11.44140625" defaultRowHeight="18" x14ac:dyDescent="0.35"/>
  <cols>
    <col min="1" max="1" width="5" style="1" customWidth="1"/>
    <col min="2" max="2" width="40.109375" style="1" bestFit="1" customWidth="1"/>
    <col min="3" max="3" width="22.88671875" style="1" customWidth="1"/>
    <col min="4" max="4" width="21.109375" style="1" customWidth="1"/>
    <col min="5" max="6" width="11.44140625" style="1"/>
    <col min="7" max="7" width="11.6640625" style="1" bestFit="1" customWidth="1"/>
    <col min="8" max="8" width="11.44140625" style="1"/>
    <col min="9" max="9" width="30.88671875" style="1" customWidth="1"/>
    <col min="10" max="10" width="11.44140625" style="1" customWidth="1"/>
    <col min="11" max="16384" width="11.44140625" style="1"/>
  </cols>
  <sheetData>
    <row r="1" spans="2:10" x14ac:dyDescent="0.35">
      <c r="B1" s="43" t="s">
        <v>0</v>
      </c>
      <c r="C1" s="43" t="s">
        <v>1</v>
      </c>
      <c r="D1" s="44" t="s">
        <v>2</v>
      </c>
      <c r="E1" s="44"/>
      <c r="F1" s="44" t="s">
        <v>3</v>
      </c>
      <c r="G1" s="44"/>
    </row>
    <row r="2" spans="2:10" x14ac:dyDescent="0.35">
      <c r="B2" s="43"/>
      <c r="C2" s="43"/>
      <c r="D2" s="2" t="s">
        <v>4</v>
      </c>
      <c r="E2" s="3" t="s">
        <v>1</v>
      </c>
      <c r="F2" s="2" t="s">
        <v>4</v>
      </c>
      <c r="G2" s="3" t="s">
        <v>1</v>
      </c>
    </row>
    <row r="3" spans="2:10" ht="24" customHeight="1" x14ac:dyDescent="0.35">
      <c r="B3" s="4" t="s">
        <v>5</v>
      </c>
      <c r="C3" s="5">
        <v>120000</v>
      </c>
      <c r="D3" s="5"/>
      <c r="E3" s="4">
        <f>C3</f>
        <v>120000</v>
      </c>
      <c r="F3" s="5"/>
      <c r="G3" s="4"/>
    </row>
    <row r="4" spans="2:10" ht="24" customHeight="1" x14ac:dyDescent="0.35">
      <c r="B4" s="4" t="s">
        <v>6</v>
      </c>
      <c r="C4" s="5">
        <v>33000</v>
      </c>
      <c r="D4" s="6">
        <v>1</v>
      </c>
      <c r="E4" s="4">
        <f>C4</f>
        <v>33000</v>
      </c>
      <c r="F4" s="5"/>
      <c r="G4" s="4"/>
    </row>
    <row r="5" spans="2:10" ht="24" customHeight="1" x14ac:dyDescent="0.35">
      <c r="B5" s="4" t="s">
        <v>7</v>
      </c>
      <c r="C5" s="5">
        <v>640000</v>
      </c>
      <c r="D5" s="6">
        <v>0.7</v>
      </c>
      <c r="E5" s="4">
        <f>$C$5*D5</f>
        <v>448000</v>
      </c>
      <c r="F5" s="6">
        <v>0.3</v>
      </c>
      <c r="G5" s="4">
        <f>C5*F5</f>
        <v>192000</v>
      </c>
    </row>
    <row r="6" spans="2:10" ht="24" customHeight="1" x14ac:dyDescent="0.35">
      <c r="B6" s="4" t="s">
        <v>8</v>
      </c>
      <c r="C6" s="5">
        <v>225000</v>
      </c>
      <c r="D6" s="6">
        <v>0.2</v>
      </c>
      <c r="E6" s="4">
        <f>C6*D6</f>
        <v>45000</v>
      </c>
      <c r="F6" s="6">
        <v>0.8</v>
      </c>
      <c r="G6" s="4">
        <f>C6*F6</f>
        <v>180000</v>
      </c>
    </row>
    <row r="7" spans="2:10" ht="24" customHeight="1" x14ac:dyDescent="0.35">
      <c r="B7" s="4" t="s">
        <v>9</v>
      </c>
      <c r="C7" s="5">
        <v>24000</v>
      </c>
      <c r="D7" s="5"/>
      <c r="E7" s="4"/>
      <c r="F7" s="5"/>
      <c r="G7" s="4">
        <f>C7</f>
        <v>24000</v>
      </c>
    </row>
    <row r="8" spans="2:10" ht="24" customHeight="1" x14ac:dyDescent="0.35">
      <c r="B8" s="4" t="s">
        <v>10</v>
      </c>
      <c r="C8" s="5">
        <v>34000</v>
      </c>
      <c r="D8" s="6">
        <v>0.1</v>
      </c>
      <c r="E8" s="4">
        <v>3400</v>
      </c>
      <c r="F8" s="6">
        <v>0.9</v>
      </c>
      <c r="G8" s="4">
        <v>30600</v>
      </c>
    </row>
    <row r="9" spans="2:10" ht="24" customHeight="1" x14ac:dyDescent="0.35">
      <c r="B9" s="4" t="s">
        <v>11</v>
      </c>
      <c r="C9" s="5">
        <v>320000</v>
      </c>
      <c r="D9" s="5"/>
      <c r="E9" s="4"/>
      <c r="F9" s="5"/>
      <c r="G9" s="4">
        <f>C9</f>
        <v>320000</v>
      </c>
    </row>
    <row r="10" spans="2:10" ht="24" customHeight="1" x14ac:dyDescent="0.35">
      <c r="B10" s="4" t="s">
        <v>12</v>
      </c>
      <c r="C10" s="5">
        <v>50000</v>
      </c>
      <c r="D10" s="5"/>
      <c r="E10" s="4"/>
      <c r="F10" s="5"/>
      <c r="G10" s="4">
        <f>C10</f>
        <v>50000</v>
      </c>
    </row>
    <row r="11" spans="2:10" ht="22.5" customHeight="1" x14ac:dyDescent="0.35">
      <c r="B11" s="7" t="s">
        <v>13</v>
      </c>
      <c r="C11" s="14">
        <f>SUM(C3:C10)</f>
        <v>1446000</v>
      </c>
      <c r="D11" s="7" t="s">
        <v>13</v>
      </c>
      <c r="E11" s="26">
        <f>SUM(E3:E10)</f>
        <v>649400</v>
      </c>
      <c r="F11" s="7" t="s">
        <v>13</v>
      </c>
      <c r="G11" s="26">
        <f>SUM(G3:G10)</f>
        <v>796600</v>
      </c>
    </row>
    <row r="13" spans="2:10" s="23" customFormat="1" x14ac:dyDescent="0.35">
      <c r="B13" s="23" t="s">
        <v>53</v>
      </c>
      <c r="C13" s="23">
        <v>190</v>
      </c>
      <c r="D13" s="23" t="s">
        <v>37</v>
      </c>
      <c r="E13" s="23">
        <v>10000</v>
      </c>
      <c r="F13" s="23" t="s">
        <v>54</v>
      </c>
      <c r="G13" s="23">
        <f>C13*E13</f>
        <v>1900000</v>
      </c>
    </row>
    <row r="14" spans="2:10" s="23" customFormat="1" x14ac:dyDescent="0.35"/>
    <row r="15" spans="2:10" ht="27.6" customHeight="1" x14ac:dyDescent="0.35">
      <c r="B15" s="43" t="s">
        <v>36</v>
      </c>
      <c r="C15" s="43"/>
    </row>
    <row r="16" spans="2:10" s="8" customFormat="1" ht="35.25" customHeight="1" x14ac:dyDescent="0.3">
      <c r="B16" s="7" t="s">
        <v>14</v>
      </c>
      <c r="C16" s="7">
        <f>G13</f>
        <v>1900000</v>
      </c>
      <c r="I16" s="7" t="s">
        <v>14</v>
      </c>
      <c r="J16" s="31">
        <f>D46</f>
        <v>1210251.0794818487</v>
      </c>
    </row>
    <row r="17" spans="1:10" s="8" customFormat="1" ht="35.25" customHeight="1" x14ac:dyDescent="0.3">
      <c r="A17" s="8" t="s">
        <v>15</v>
      </c>
      <c r="B17" s="7" t="s">
        <v>16</v>
      </c>
      <c r="C17" s="4">
        <f>E11</f>
        <v>649400</v>
      </c>
      <c r="D17" s="4">
        <f>Coûts_variables/E13</f>
        <v>64.94</v>
      </c>
      <c r="E17" s="8" t="s">
        <v>26</v>
      </c>
      <c r="I17" s="7" t="s">
        <v>16</v>
      </c>
    </row>
    <row r="18" spans="1:10" s="8" customFormat="1" ht="35.25" customHeight="1" x14ac:dyDescent="0.3">
      <c r="A18" s="8" t="s">
        <v>17</v>
      </c>
      <c r="B18" s="7" t="s">
        <v>18</v>
      </c>
      <c r="C18" s="7">
        <f>Chiffre_d_affaires-Coûts_variables</f>
        <v>1250600</v>
      </c>
      <c r="D18" s="9">
        <f>Marge_sur_coûts_variables/Chiffre_d_affaires</f>
        <v>0.65821052631578947</v>
      </c>
      <c r="E18" s="45" t="s">
        <v>19</v>
      </c>
      <c r="F18" s="45"/>
      <c r="G18" s="45"/>
      <c r="H18" s="46"/>
      <c r="I18" s="7" t="s">
        <v>18</v>
      </c>
      <c r="J18" s="8">
        <f>J16*D18</f>
        <v>796600</v>
      </c>
    </row>
    <row r="19" spans="1:10" s="8" customFormat="1" ht="35.25" customHeight="1" x14ac:dyDescent="0.3">
      <c r="A19" s="8" t="s">
        <v>15</v>
      </c>
      <c r="B19" s="7" t="s">
        <v>20</v>
      </c>
      <c r="C19" s="4">
        <f>G11</f>
        <v>796600</v>
      </c>
      <c r="I19" s="7" t="s">
        <v>20</v>
      </c>
      <c r="J19" s="8">
        <f>G11</f>
        <v>796600</v>
      </c>
    </row>
    <row r="20" spans="1:10" s="8" customFormat="1" ht="35.25" customHeight="1" x14ac:dyDescent="0.3">
      <c r="A20" s="8" t="s">
        <v>17</v>
      </c>
      <c r="B20" s="7" t="s">
        <v>21</v>
      </c>
      <c r="C20" s="7">
        <f>Marge_sur_coûts_variables-Coûts_fixes</f>
        <v>454000</v>
      </c>
      <c r="D20" s="9">
        <f>Marge_nette/Chiffre_d_affaires</f>
        <v>0.23894736842105263</v>
      </c>
      <c r="E20" s="45" t="s">
        <v>22</v>
      </c>
      <c r="F20" s="45"/>
      <c r="I20" s="7" t="s">
        <v>21</v>
      </c>
      <c r="J20" s="8">
        <f>J18-J19</f>
        <v>0</v>
      </c>
    </row>
    <row r="22" spans="1:10" ht="30.75" customHeight="1" x14ac:dyDescent="0.35">
      <c r="B22" s="10" t="s">
        <v>23</v>
      </c>
      <c r="G22" s="1" t="s">
        <v>24</v>
      </c>
    </row>
    <row r="23" spans="1:10" ht="30.75" customHeight="1" x14ac:dyDescent="0.35">
      <c r="B23" s="11"/>
      <c r="C23" s="12"/>
      <c r="D23" s="13" t="s">
        <v>25</v>
      </c>
      <c r="G23" s="1" t="s">
        <v>26</v>
      </c>
    </row>
    <row r="24" spans="1:10" ht="30.75" customHeight="1" x14ac:dyDescent="0.35">
      <c r="B24" s="7" t="s">
        <v>27</v>
      </c>
      <c r="C24" s="7">
        <f>C20</f>
        <v>454000</v>
      </c>
      <c r="D24" s="7">
        <f>Marge_nette*1.25</f>
        <v>567500</v>
      </c>
      <c r="G24" s="1" t="s">
        <v>28</v>
      </c>
    </row>
    <row r="25" spans="1:10" ht="22.8" customHeight="1" x14ac:dyDescent="0.35"/>
    <row r="26" spans="1:10" s="27" customFormat="1" x14ac:dyDescent="0.35"/>
    <row r="27" spans="1:10" s="27" customFormat="1" ht="31.2" x14ac:dyDescent="0.35">
      <c r="B27" s="28" t="s">
        <v>29</v>
      </c>
    </row>
    <row r="28" spans="1:10" s="27" customFormat="1" ht="31.2" x14ac:dyDescent="0.35">
      <c r="B28" s="28" t="s">
        <v>55</v>
      </c>
    </row>
    <row r="29" spans="1:10" s="27" customFormat="1" ht="31.2" x14ac:dyDescent="0.35">
      <c r="B29" s="28" t="s">
        <v>30</v>
      </c>
      <c r="C29" s="28"/>
      <c r="D29" s="29"/>
    </row>
    <row r="30" spans="1:10" s="27" customFormat="1" ht="31.2" x14ac:dyDescent="0.6">
      <c r="B30" s="30" t="s">
        <v>31</v>
      </c>
      <c r="C30" s="30"/>
    </row>
    <row r="31" spans="1:10" s="27" customFormat="1" ht="31.2" x14ac:dyDescent="0.6">
      <c r="B31" s="30" t="s">
        <v>32</v>
      </c>
      <c r="C31" s="30"/>
    </row>
    <row r="32" spans="1:10" s="27" customFormat="1" ht="31.2" x14ac:dyDescent="0.6">
      <c r="B32" s="30" t="s">
        <v>33</v>
      </c>
      <c r="C32" s="30"/>
    </row>
    <row r="33" spans="2:8" s="27" customFormat="1" ht="31.2" x14ac:dyDescent="0.6">
      <c r="B33" s="30" t="s">
        <v>34</v>
      </c>
      <c r="C33" s="30" t="s">
        <v>35</v>
      </c>
    </row>
    <row r="34" spans="2:8" s="27" customFormat="1" ht="31.2" x14ac:dyDescent="0.6">
      <c r="B34" s="30"/>
      <c r="C34" s="30">
        <f>1364100/0.6582</f>
        <v>2072470.3737465816</v>
      </c>
    </row>
    <row r="36" spans="2:8" s="23" customFormat="1" x14ac:dyDescent="0.35">
      <c r="B36" s="17" t="s">
        <v>56</v>
      </c>
      <c r="C36" s="17"/>
    </row>
    <row r="37" spans="2:8" s="23" customFormat="1" x14ac:dyDescent="0.35"/>
    <row r="38" spans="2:8" s="23" customFormat="1" ht="31.2" x14ac:dyDescent="0.35">
      <c r="B38" s="28" t="s">
        <v>57</v>
      </c>
    </row>
    <row r="39" spans="2:8" s="23" customFormat="1" ht="31.2" x14ac:dyDescent="0.35">
      <c r="B39" s="28" t="s">
        <v>58</v>
      </c>
    </row>
    <row r="40" spans="2:8" s="23" customFormat="1" ht="31.2" x14ac:dyDescent="0.35">
      <c r="B40" s="28" t="s">
        <v>59</v>
      </c>
    </row>
    <row r="41" spans="2:8" s="23" customFormat="1" ht="31.2" x14ac:dyDescent="0.35">
      <c r="B41" s="28" t="s">
        <v>60</v>
      </c>
    </row>
    <row r="42" spans="2:8" s="23" customFormat="1" ht="31.2" x14ac:dyDescent="0.35">
      <c r="B42" s="28" t="s">
        <v>61</v>
      </c>
    </row>
    <row r="43" spans="2:8" s="23" customFormat="1" ht="31.2" x14ac:dyDescent="0.35">
      <c r="B43" s="28" t="s">
        <v>54</v>
      </c>
      <c r="C43" s="28">
        <f>Coûts_fixes/0.3582</f>
        <v>2223897.2640982689</v>
      </c>
    </row>
    <row r="44" spans="2:8" s="23" customFormat="1" x14ac:dyDescent="0.35"/>
    <row r="46" spans="2:8" ht="25.8" x14ac:dyDescent="0.5">
      <c r="B46" s="17" t="s">
        <v>42</v>
      </c>
      <c r="C46" s="16" t="s">
        <v>41</v>
      </c>
      <c r="D46" s="18">
        <f>Coûts_fixes/D18</f>
        <v>1210251.0794818487</v>
      </c>
      <c r="F46" s="19" t="s">
        <v>38</v>
      </c>
      <c r="G46" s="19"/>
      <c r="H46" s="19"/>
    </row>
    <row r="47" spans="2:8" ht="25.8" x14ac:dyDescent="0.5">
      <c r="F47" s="19" t="s">
        <v>39</v>
      </c>
      <c r="G47" s="19"/>
      <c r="H47" s="19"/>
    </row>
    <row r="48" spans="2:8" ht="25.8" x14ac:dyDescent="0.5">
      <c r="B48" s="1" t="s">
        <v>43</v>
      </c>
      <c r="C48" s="1" t="s">
        <v>44</v>
      </c>
      <c r="D48" s="15">
        <f>D46/190</f>
        <v>6369.7425235886776</v>
      </c>
      <c r="F48" s="19" t="s">
        <v>40</v>
      </c>
      <c r="G48" s="19"/>
      <c r="H48" s="19"/>
    </row>
    <row r="49" spans="2:9" ht="25.8" x14ac:dyDescent="0.5">
      <c r="C49" s="17"/>
      <c r="F49" s="19" t="s">
        <v>62</v>
      </c>
    </row>
    <row r="51" spans="2:9" s="23" customFormat="1" x14ac:dyDescent="0.35">
      <c r="B51" s="23" t="s">
        <v>63</v>
      </c>
      <c r="C51" s="23">
        <f>190-D17</f>
        <v>125.06</v>
      </c>
    </row>
    <row r="52" spans="2:9" x14ac:dyDescent="0.35">
      <c r="B52" s="17" t="s">
        <v>43</v>
      </c>
      <c r="C52" s="1" t="s">
        <v>45</v>
      </c>
      <c r="E52" s="21">
        <f>G11/C51</f>
        <v>6369.7425235886776</v>
      </c>
      <c r="G52" s="1" t="s">
        <v>64</v>
      </c>
      <c r="H52" s="1">
        <f>E52*190</f>
        <v>1210251.0794818487</v>
      </c>
    </row>
    <row r="54" spans="2:9" x14ac:dyDescent="0.35">
      <c r="B54" s="17" t="s">
        <v>46</v>
      </c>
      <c r="C54" s="1" t="s">
        <v>47</v>
      </c>
      <c r="D54" s="15">
        <f>Chiffre_d_affaires-D46</f>
        <v>689748.92051815125</v>
      </c>
    </row>
    <row r="55" spans="2:9" x14ac:dyDescent="0.35">
      <c r="B55" s="17"/>
    </row>
    <row r="56" spans="2:9" x14ac:dyDescent="0.35">
      <c r="B56" s="17" t="s">
        <v>48</v>
      </c>
      <c r="C56" s="1" t="s">
        <v>49</v>
      </c>
      <c r="D56" s="22">
        <f>D54/Chiffre_d_affaires</f>
        <v>0.36302574764113221</v>
      </c>
      <c r="F56" s="23" t="s">
        <v>65</v>
      </c>
    </row>
    <row r="57" spans="2:9" x14ac:dyDescent="0.35">
      <c r="B57" s="17"/>
    </row>
    <row r="58" spans="2:9" x14ac:dyDescent="0.35">
      <c r="B58" s="17" t="s">
        <v>50</v>
      </c>
      <c r="C58" s="1" t="s">
        <v>51</v>
      </c>
      <c r="E58" s="1" t="s">
        <v>52</v>
      </c>
      <c r="G58" s="21">
        <f>(D46/Chiffre_d_affaires)*360</f>
        <v>229.3107308491924</v>
      </c>
      <c r="I58" s="20">
        <v>43696</v>
      </c>
    </row>
  </sheetData>
  <mergeCells count="7">
    <mergeCell ref="B1:B2"/>
    <mergeCell ref="C1:C2"/>
    <mergeCell ref="D1:E1"/>
    <mergeCell ref="F1:G1"/>
    <mergeCell ref="E20:F20"/>
    <mergeCell ref="E18:H18"/>
    <mergeCell ref="B15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topLeftCell="A49" zoomScale="120" zoomScaleNormal="120" workbookViewId="0">
      <selection activeCell="G59" sqref="G59"/>
    </sheetView>
  </sheetViews>
  <sheetFormatPr baseColWidth="10" defaultColWidth="11.44140625" defaultRowHeight="18" x14ac:dyDescent="0.35"/>
  <cols>
    <col min="1" max="1" width="5" style="32" customWidth="1"/>
    <col min="2" max="2" width="43.44140625" style="23" customWidth="1"/>
    <col min="3" max="3" width="35.21875" style="23" customWidth="1"/>
    <col min="4" max="4" width="15.88671875" style="23" customWidth="1"/>
    <col min="5" max="5" width="16.33203125" style="23" bestFit="1" customWidth="1"/>
    <col min="6" max="6" width="11.44140625" style="23"/>
    <col min="7" max="7" width="17.6640625" style="23" customWidth="1"/>
    <col min="8" max="8" width="20.109375" style="23" customWidth="1"/>
    <col min="9" max="9" width="30.88671875" style="23" customWidth="1"/>
    <col min="10" max="10" width="11.44140625" style="23" customWidth="1"/>
    <col min="11" max="16384" width="11.44140625" style="23"/>
  </cols>
  <sheetData>
    <row r="1" spans="1:10" x14ac:dyDescent="0.35">
      <c r="B1" s="43" t="s">
        <v>0</v>
      </c>
      <c r="C1" s="43" t="s">
        <v>1</v>
      </c>
      <c r="D1" s="44" t="s">
        <v>2</v>
      </c>
      <c r="E1" s="44"/>
      <c r="F1" s="44" t="s">
        <v>3</v>
      </c>
      <c r="G1" s="44"/>
    </row>
    <row r="2" spans="1:10" x14ac:dyDescent="0.35">
      <c r="B2" s="43"/>
      <c r="C2" s="43"/>
      <c r="D2" s="24" t="s">
        <v>4</v>
      </c>
      <c r="E2" s="3" t="s">
        <v>1</v>
      </c>
      <c r="F2" s="24" t="s">
        <v>4</v>
      </c>
      <c r="G2" s="3" t="s">
        <v>1</v>
      </c>
    </row>
    <row r="3" spans="1:10" ht="24" customHeight="1" x14ac:dyDescent="0.35">
      <c r="B3" s="4" t="s">
        <v>5</v>
      </c>
      <c r="C3" s="5">
        <v>120000</v>
      </c>
      <c r="D3" s="5"/>
      <c r="E3" s="4">
        <f>C3</f>
        <v>120000</v>
      </c>
      <c r="F3" s="5"/>
      <c r="G3" s="4"/>
    </row>
    <row r="4" spans="1:10" ht="24" customHeight="1" x14ac:dyDescent="0.35">
      <c r="B4" s="4" t="s">
        <v>6</v>
      </c>
      <c r="C4" s="5">
        <v>33000</v>
      </c>
      <c r="D4" s="6">
        <v>1</v>
      </c>
      <c r="E4" s="4">
        <f>C4</f>
        <v>33000</v>
      </c>
      <c r="F4" s="5"/>
      <c r="G4" s="4"/>
    </row>
    <row r="5" spans="1:10" ht="24" customHeight="1" x14ac:dyDescent="0.35">
      <c r="B5" s="4" t="s">
        <v>7</v>
      </c>
      <c r="C5" s="5">
        <v>640000</v>
      </c>
      <c r="D5" s="6">
        <v>0.7</v>
      </c>
      <c r="E5" s="4">
        <f>$C$5*D5</f>
        <v>448000</v>
      </c>
      <c r="F5" s="6">
        <v>0.3</v>
      </c>
      <c r="G5" s="4">
        <f>$C$5*F5</f>
        <v>192000</v>
      </c>
    </row>
    <row r="6" spans="1:10" ht="24" customHeight="1" x14ac:dyDescent="0.35">
      <c r="B6" s="4" t="s">
        <v>8</v>
      </c>
      <c r="C6" s="5">
        <v>225000</v>
      </c>
      <c r="D6" s="6">
        <v>0.2</v>
      </c>
      <c r="E6" s="4">
        <f>$C$6*D6</f>
        <v>45000</v>
      </c>
      <c r="F6" s="6">
        <v>0.8</v>
      </c>
      <c r="G6" s="4">
        <f>$C$6*F6</f>
        <v>180000</v>
      </c>
    </row>
    <row r="7" spans="1:10" ht="24" customHeight="1" x14ac:dyDescent="0.35">
      <c r="B7" s="4" t="s">
        <v>9</v>
      </c>
      <c r="C7" s="5">
        <v>24000</v>
      </c>
      <c r="D7" s="5"/>
      <c r="E7" s="4"/>
      <c r="F7" s="5"/>
      <c r="G7" s="4">
        <f>C7</f>
        <v>24000</v>
      </c>
    </row>
    <row r="8" spans="1:10" ht="24" customHeight="1" x14ac:dyDescent="0.35">
      <c r="B8" s="4" t="s">
        <v>10</v>
      </c>
      <c r="C8" s="5">
        <v>34000</v>
      </c>
      <c r="D8" s="6">
        <v>0.1</v>
      </c>
      <c r="E8" s="4">
        <f>$C$8*D8</f>
        <v>3400</v>
      </c>
      <c r="F8" s="6">
        <v>0.9</v>
      </c>
      <c r="G8" s="4">
        <f>$C$8*F8</f>
        <v>30600</v>
      </c>
    </row>
    <row r="9" spans="1:10" ht="24" customHeight="1" x14ac:dyDescent="0.35">
      <c r="B9" s="4" t="s">
        <v>11</v>
      </c>
      <c r="C9" s="5">
        <v>320000</v>
      </c>
      <c r="D9" s="5"/>
      <c r="E9" s="4"/>
      <c r="F9" s="5"/>
      <c r="G9" s="4">
        <f>C9</f>
        <v>320000</v>
      </c>
    </row>
    <row r="10" spans="1:10" ht="24" customHeight="1" x14ac:dyDescent="0.35">
      <c r="B10" s="4" t="s">
        <v>12</v>
      </c>
      <c r="C10" s="5">
        <v>50000</v>
      </c>
      <c r="D10" s="5"/>
      <c r="E10" s="4"/>
      <c r="F10" s="5"/>
      <c r="G10" s="4">
        <f>C10</f>
        <v>50000</v>
      </c>
    </row>
    <row r="11" spans="1:10" ht="22.5" customHeight="1" x14ac:dyDescent="0.35">
      <c r="B11" s="7" t="s">
        <v>13</v>
      </c>
      <c r="C11" s="25">
        <f>SUM(C3:C10)</f>
        <v>1446000</v>
      </c>
      <c r="D11" s="7" t="s">
        <v>13</v>
      </c>
      <c r="E11" s="26">
        <f>SUM(E3:E10)</f>
        <v>649400</v>
      </c>
      <c r="F11" s="7" t="s">
        <v>13</v>
      </c>
      <c r="G11" s="26">
        <f>SUM(G3:G10)</f>
        <v>796600</v>
      </c>
    </row>
    <row r="13" spans="1:10" x14ac:dyDescent="0.35">
      <c r="B13" s="3" t="s">
        <v>53</v>
      </c>
      <c r="C13" s="3">
        <v>190</v>
      </c>
      <c r="D13" s="3" t="s">
        <v>37</v>
      </c>
      <c r="E13" s="3">
        <v>10000</v>
      </c>
      <c r="F13" s="3" t="s">
        <v>54</v>
      </c>
      <c r="G13" s="3">
        <f>C13*E13</f>
        <v>1900000</v>
      </c>
    </row>
    <row r="15" spans="1:10" ht="27.6" customHeight="1" x14ac:dyDescent="0.35">
      <c r="B15" s="43" t="s">
        <v>36</v>
      </c>
      <c r="C15" s="43"/>
    </row>
    <row r="16" spans="1:10" s="8" customFormat="1" ht="35.25" customHeight="1" x14ac:dyDescent="0.3">
      <c r="A16" s="32"/>
      <c r="B16" s="7" t="s">
        <v>14</v>
      </c>
      <c r="C16" s="7">
        <f>G13</f>
        <v>1900000</v>
      </c>
      <c r="I16" s="7" t="s">
        <v>14</v>
      </c>
      <c r="J16" s="31">
        <f>C34</f>
        <v>2072437.2301295379</v>
      </c>
    </row>
    <row r="17" spans="1:10" s="8" customFormat="1" ht="35.25" customHeight="1" x14ac:dyDescent="0.3">
      <c r="A17" s="33" t="s">
        <v>15</v>
      </c>
      <c r="B17" s="7" t="s">
        <v>16</v>
      </c>
      <c r="C17" s="4">
        <f>E11</f>
        <v>649400</v>
      </c>
      <c r="D17" s="7">
        <f>C17/E13</f>
        <v>64.94</v>
      </c>
      <c r="E17" s="10" t="s">
        <v>26</v>
      </c>
      <c r="F17" s="10"/>
      <c r="I17" s="7" t="s">
        <v>16</v>
      </c>
    </row>
    <row r="18" spans="1:10" s="8" customFormat="1" ht="35.25" customHeight="1" x14ac:dyDescent="0.3">
      <c r="A18" s="33" t="s">
        <v>17</v>
      </c>
      <c r="B18" s="7" t="s">
        <v>18</v>
      </c>
      <c r="C18" s="7">
        <f>C16-C17</f>
        <v>1250600</v>
      </c>
      <c r="D18" s="35">
        <f>C18/C16</f>
        <v>0.65821052631578947</v>
      </c>
      <c r="E18" s="47" t="s">
        <v>19</v>
      </c>
      <c r="F18" s="47"/>
      <c r="G18" s="47"/>
      <c r="H18" s="48"/>
      <c r="I18" s="7" t="s">
        <v>18</v>
      </c>
      <c r="J18" s="8">
        <f>D18*J16</f>
        <v>1364100</v>
      </c>
    </row>
    <row r="19" spans="1:10" s="8" customFormat="1" ht="35.25" customHeight="1" x14ac:dyDescent="0.3">
      <c r="A19" s="33" t="s">
        <v>15</v>
      </c>
      <c r="B19" s="7" t="s">
        <v>20</v>
      </c>
      <c r="C19" s="4">
        <f>G11</f>
        <v>796600</v>
      </c>
      <c r="I19" s="7" t="s">
        <v>20</v>
      </c>
      <c r="J19" s="8">
        <f>C19</f>
        <v>796600</v>
      </c>
    </row>
    <row r="20" spans="1:10" s="8" customFormat="1" ht="35.25" customHeight="1" x14ac:dyDescent="0.3">
      <c r="A20" s="33" t="s">
        <v>17</v>
      </c>
      <c r="B20" s="7" t="s">
        <v>21</v>
      </c>
      <c r="C20" s="7">
        <f>C18-C19</f>
        <v>454000</v>
      </c>
      <c r="D20" s="35">
        <f>C20/C16</f>
        <v>0.23894736842105263</v>
      </c>
      <c r="E20" s="47" t="s">
        <v>22</v>
      </c>
      <c r="F20" s="47"/>
      <c r="I20" s="7" t="s">
        <v>21</v>
      </c>
      <c r="J20" s="8">
        <f>J18-J19</f>
        <v>567500</v>
      </c>
    </row>
    <row r="22" spans="1:10" ht="30.75" customHeight="1" x14ac:dyDescent="0.35">
      <c r="B22" s="10" t="s">
        <v>23</v>
      </c>
      <c r="G22" s="23" t="s">
        <v>24</v>
      </c>
    </row>
    <row r="23" spans="1:10" ht="30.75" customHeight="1" x14ac:dyDescent="0.35">
      <c r="B23" s="11"/>
      <c r="C23" s="12"/>
      <c r="D23" s="13" t="s">
        <v>25</v>
      </c>
      <c r="G23" s="23" t="s">
        <v>26</v>
      </c>
    </row>
    <row r="24" spans="1:10" ht="30.75" customHeight="1" x14ac:dyDescent="0.35">
      <c r="B24" s="7" t="s">
        <v>27</v>
      </c>
      <c r="C24" s="7">
        <f>C20</f>
        <v>454000</v>
      </c>
      <c r="D24" s="7">
        <f>C24*1.25</f>
        <v>567500</v>
      </c>
      <c r="G24" s="23" t="s">
        <v>28</v>
      </c>
    </row>
    <row r="25" spans="1:10" ht="22.8" customHeight="1" x14ac:dyDescent="0.35"/>
    <row r="26" spans="1:10" s="27" customFormat="1" x14ac:dyDescent="0.35">
      <c r="A26" s="34"/>
    </row>
    <row r="27" spans="1:10" s="27" customFormat="1" ht="31.2" x14ac:dyDescent="0.35">
      <c r="A27" s="34"/>
      <c r="B27" s="28" t="s">
        <v>29</v>
      </c>
    </row>
    <row r="28" spans="1:10" s="27" customFormat="1" ht="31.2" x14ac:dyDescent="0.35">
      <c r="A28" s="34"/>
      <c r="B28" s="28" t="s">
        <v>55</v>
      </c>
    </row>
    <row r="29" spans="1:10" s="27" customFormat="1" ht="31.2" x14ac:dyDescent="0.35">
      <c r="A29" s="34"/>
      <c r="B29" s="28" t="s">
        <v>30</v>
      </c>
      <c r="C29" s="28"/>
      <c r="D29" s="29"/>
    </row>
    <row r="30" spans="1:10" s="27" customFormat="1" ht="31.2" x14ac:dyDescent="0.6">
      <c r="A30" s="34"/>
      <c r="B30" s="30" t="s">
        <v>31</v>
      </c>
      <c r="C30" s="30"/>
    </row>
    <row r="31" spans="1:10" s="27" customFormat="1" ht="31.2" x14ac:dyDescent="0.6">
      <c r="A31" s="34"/>
      <c r="B31" s="30" t="s">
        <v>32</v>
      </c>
      <c r="C31" s="30"/>
    </row>
    <row r="32" spans="1:10" s="27" customFormat="1" ht="31.2" x14ac:dyDescent="0.6">
      <c r="A32" s="34"/>
      <c r="B32" s="30" t="s">
        <v>33</v>
      </c>
      <c r="C32" s="30"/>
    </row>
    <row r="33" spans="1:9" s="27" customFormat="1" ht="31.2" x14ac:dyDescent="0.6">
      <c r="A33" s="34"/>
      <c r="B33" s="30" t="s">
        <v>34</v>
      </c>
      <c r="C33" s="30" t="s">
        <v>35</v>
      </c>
    </row>
    <row r="34" spans="1:9" s="27" customFormat="1" ht="31.2" x14ac:dyDescent="0.6">
      <c r="A34" s="34"/>
      <c r="B34" s="30"/>
      <c r="C34" s="30">
        <f>1364100/D18</f>
        <v>2072437.2301295379</v>
      </c>
    </row>
    <row r="36" spans="1:9" x14ac:dyDescent="0.35">
      <c r="B36" s="17" t="s">
        <v>56</v>
      </c>
      <c r="C36" s="17"/>
    </row>
    <row r="38" spans="1:9" ht="31.2" x14ac:dyDescent="0.35">
      <c r="B38" s="28" t="s">
        <v>57</v>
      </c>
    </row>
    <row r="39" spans="1:9" ht="31.2" x14ac:dyDescent="0.35">
      <c r="B39" s="28" t="s">
        <v>58</v>
      </c>
    </row>
    <row r="40" spans="1:9" ht="31.2" x14ac:dyDescent="0.35">
      <c r="B40" s="28" t="s">
        <v>59</v>
      </c>
    </row>
    <row r="41" spans="1:9" ht="31.2" x14ac:dyDescent="0.35">
      <c r="B41" s="28" t="s">
        <v>60</v>
      </c>
    </row>
    <row r="42" spans="1:9" ht="31.2" x14ac:dyDescent="0.35">
      <c r="B42" s="28" t="s">
        <v>61</v>
      </c>
    </row>
    <row r="43" spans="1:9" ht="31.2" x14ac:dyDescent="0.35">
      <c r="B43" s="28" t="s">
        <v>54</v>
      </c>
      <c r="C43" s="49">
        <f>Coûts_fixes/(D18-0.3)</f>
        <v>2223831.9130179253</v>
      </c>
    </row>
    <row r="46" spans="1:9" ht="23.4" x14ac:dyDescent="0.45">
      <c r="B46" s="36" t="s">
        <v>42</v>
      </c>
      <c r="C46" s="37" t="s">
        <v>41</v>
      </c>
      <c r="D46" s="38">
        <f>C19/D18</f>
        <v>1210251.0794818487</v>
      </c>
      <c r="E46" s="39"/>
      <c r="F46" s="39" t="s">
        <v>38</v>
      </c>
      <c r="G46" s="39"/>
      <c r="H46" s="39"/>
      <c r="I46" s="39"/>
    </row>
    <row r="47" spans="1:9" ht="23.4" x14ac:dyDescent="0.45">
      <c r="B47" s="39"/>
      <c r="C47" s="39"/>
      <c r="D47" s="39"/>
      <c r="E47" s="39"/>
      <c r="F47" s="39" t="s">
        <v>39</v>
      </c>
      <c r="G47" s="39"/>
      <c r="H47" s="39"/>
      <c r="I47" s="39"/>
    </row>
    <row r="48" spans="1:9" ht="23.4" x14ac:dyDescent="0.45">
      <c r="B48" s="36" t="s">
        <v>43</v>
      </c>
      <c r="C48" s="36" t="s">
        <v>44</v>
      </c>
      <c r="D48" s="38">
        <f>D46/C13</f>
        <v>6369.7425235886776</v>
      </c>
      <c r="E48" s="39"/>
      <c r="F48" s="39" t="s">
        <v>40</v>
      </c>
      <c r="G48" s="39"/>
      <c r="H48" s="39"/>
      <c r="I48" s="39"/>
    </row>
    <row r="49" spans="2:9" ht="23.4" x14ac:dyDescent="0.45">
      <c r="B49" s="39"/>
      <c r="C49" s="36"/>
      <c r="D49" s="39"/>
      <c r="E49" s="39"/>
      <c r="F49" s="36" t="s">
        <v>62</v>
      </c>
      <c r="G49" s="39"/>
      <c r="H49" s="39"/>
      <c r="I49" s="39"/>
    </row>
    <row r="50" spans="2:9" ht="23.4" x14ac:dyDescent="0.45">
      <c r="B50" s="39"/>
      <c r="C50" s="39"/>
      <c r="D50" s="39"/>
      <c r="E50" s="39"/>
      <c r="F50" s="39"/>
      <c r="G50" s="39"/>
      <c r="H50" s="39"/>
      <c r="I50" s="39"/>
    </row>
    <row r="51" spans="2:9" ht="23.4" x14ac:dyDescent="0.45">
      <c r="B51" s="39" t="s">
        <v>63</v>
      </c>
      <c r="C51" s="39"/>
      <c r="D51" s="39">
        <f>C13-D17</f>
        <v>125.06</v>
      </c>
      <c r="E51" s="39"/>
      <c r="F51" s="39"/>
      <c r="G51" s="39"/>
      <c r="H51" s="39"/>
      <c r="I51" s="39"/>
    </row>
    <row r="52" spans="2:9" ht="23.4" x14ac:dyDescent="0.45">
      <c r="B52" s="36" t="s">
        <v>43</v>
      </c>
      <c r="C52" s="39" t="s">
        <v>45</v>
      </c>
      <c r="D52" s="39"/>
      <c r="E52" s="40">
        <f>C19/D51</f>
        <v>6369.7425235886776</v>
      </c>
      <c r="F52" s="39"/>
      <c r="G52" s="36" t="s">
        <v>64</v>
      </c>
      <c r="H52" s="39">
        <f>E52*190</f>
        <v>1210251.0794818487</v>
      </c>
      <c r="I52" s="39"/>
    </row>
    <row r="53" spans="2:9" ht="23.4" x14ac:dyDescent="0.45">
      <c r="B53" s="39"/>
      <c r="C53" s="39"/>
      <c r="D53" s="39"/>
      <c r="E53" s="39"/>
      <c r="F53" s="39"/>
      <c r="G53" s="39"/>
      <c r="H53" s="39"/>
      <c r="I53" s="39"/>
    </row>
    <row r="54" spans="2:9" ht="23.4" x14ac:dyDescent="0.45">
      <c r="B54" s="36" t="s">
        <v>46</v>
      </c>
      <c r="C54" s="39" t="s">
        <v>47</v>
      </c>
      <c r="D54" s="40">
        <f>C16-D46</f>
        <v>689748.92051815125</v>
      </c>
      <c r="E54" s="39"/>
      <c r="F54" s="39"/>
      <c r="G54" s="39"/>
      <c r="H54" s="39"/>
      <c r="I54" s="39"/>
    </row>
    <row r="55" spans="2:9" ht="23.4" x14ac:dyDescent="0.45">
      <c r="B55" s="36"/>
      <c r="C55" s="39"/>
      <c r="D55" s="39"/>
      <c r="E55" s="39"/>
      <c r="F55" s="39"/>
      <c r="G55" s="39"/>
      <c r="H55" s="39"/>
      <c r="I55" s="39"/>
    </row>
    <row r="56" spans="2:9" ht="23.4" x14ac:dyDescent="0.45">
      <c r="B56" s="36" t="s">
        <v>48</v>
      </c>
      <c r="C56" s="39" t="s">
        <v>49</v>
      </c>
      <c r="D56" s="41">
        <f>D54/C16</f>
        <v>0.36302574764113221</v>
      </c>
      <c r="E56" s="39"/>
      <c r="F56" s="39" t="s">
        <v>65</v>
      </c>
      <c r="G56" s="39"/>
      <c r="H56" s="50">
        <f>1+(D54/C16)</f>
        <v>1.3630257476411323</v>
      </c>
      <c r="I56" s="39"/>
    </row>
    <row r="57" spans="2:9" ht="23.4" x14ac:dyDescent="0.45">
      <c r="B57" s="36"/>
      <c r="C57" s="39"/>
      <c r="D57" s="39"/>
      <c r="E57" s="39"/>
      <c r="F57" s="39"/>
      <c r="G57" s="39"/>
      <c r="H57" s="39"/>
      <c r="I57" s="39"/>
    </row>
    <row r="58" spans="2:9" ht="23.4" x14ac:dyDescent="0.45">
      <c r="B58" s="36" t="s">
        <v>50</v>
      </c>
      <c r="C58" s="39" t="s">
        <v>66</v>
      </c>
      <c r="D58" s="39"/>
      <c r="E58" s="39" t="s">
        <v>52</v>
      </c>
      <c r="F58" s="39"/>
      <c r="G58" s="40">
        <f>(D46/C16)*360</f>
        <v>229.3107308491924</v>
      </c>
      <c r="H58" s="39"/>
      <c r="I58" s="42">
        <v>43696</v>
      </c>
    </row>
    <row r="59" spans="2:9" ht="23.4" x14ac:dyDescent="0.45">
      <c r="B59" s="39"/>
      <c r="C59" s="42">
        <v>44197</v>
      </c>
      <c r="D59" s="39"/>
      <c r="E59" s="39"/>
      <c r="F59" s="39"/>
      <c r="G59" s="42">
        <v>44427</v>
      </c>
      <c r="H59" s="39"/>
      <c r="I59" s="39"/>
    </row>
  </sheetData>
  <mergeCells count="7">
    <mergeCell ref="E20:F20"/>
    <mergeCell ref="B1:B2"/>
    <mergeCell ref="C1:C2"/>
    <mergeCell ref="D1:E1"/>
    <mergeCell ref="F1:G1"/>
    <mergeCell ref="B15:C15"/>
    <mergeCell ref="E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5</vt:i4>
      </vt:variant>
    </vt:vector>
  </HeadingPairs>
  <TitlesOfParts>
    <vt:vector size="7" baseType="lpstr">
      <vt:lpstr>Jouetix</vt:lpstr>
      <vt:lpstr>Feuil1</vt:lpstr>
      <vt:lpstr>Chiffre_d_affaires</vt:lpstr>
      <vt:lpstr>Coûts_fixes</vt:lpstr>
      <vt:lpstr>Coûts_variables</vt:lpstr>
      <vt:lpstr>Marge_nette</vt:lpstr>
      <vt:lpstr>Marge_sur_coûts_variables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</dc:creator>
  <cp:lastModifiedBy>Frederic DEBUIRE</cp:lastModifiedBy>
  <dcterms:created xsi:type="dcterms:W3CDTF">2019-11-18T15:19:45Z</dcterms:created>
  <dcterms:modified xsi:type="dcterms:W3CDTF">2021-11-22T10:44:36Z</dcterms:modified>
</cp:coreProperties>
</file>